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mestic" sheetId="1" r:id="rId4"/>
    <sheet state="visible" name="AF" sheetId="2" r:id="rId5"/>
    <sheet state="visible" name="EAP" sheetId="3" r:id="rId6"/>
    <sheet state="visible" name="EUR" sheetId="4" r:id="rId7"/>
    <sheet state="visible" name="IO" sheetId="5" r:id="rId8"/>
    <sheet state="visible" name="NEA" sheetId="6" r:id="rId9"/>
    <sheet state="visible" name="SCA" sheetId="7" r:id="rId10"/>
    <sheet state="visible" name="WHA" sheetId="8" r:id="rId11"/>
    <sheet state="visible" name="All Accounts" sheetId="9" r:id="rId12"/>
  </sheets>
  <definedNames>
    <definedName hidden="1" localSheetId="0" name="_xlnm._FilterDatabase">Domestic!$A$1:$Z$955</definedName>
    <definedName hidden="1" localSheetId="1" name="_xlnm._FilterDatabase">AF!$A$1:$Z$182</definedName>
    <definedName hidden="1" localSheetId="8" name="_xlnm._FilterDatabase">'All Accounts'!$A$1:$Z$3405</definedName>
  </definedNames>
  <calcPr/>
</workbook>
</file>

<file path=xl/sharedStrings.xml><?xml version="1.0" encoding="utf-8"?>
<sst xmlns="http://schemas.openxmlformats.org/spreadsheetml/2006/main" count="7037" uniqueCount="2128">
  <si>
    <t>Bureau</t>
  </si>
  <si>
    <t>Countries and Areas</t>
  </si>
  <si>
    <t>Account Name</t>
  </si>
  <si>
    <t>Platform</t>
  </si>
  <si>
    <t>Page Url</t>
  </si>
  <si>
    <t>A</t>
  </si>
  <si>
    <t>United States</t>
  </si>
  <si>
    <t>U.S. Department of State Industry Liaison</t>
  </si>
  <si>
    <t>LinkedIn</t>
  </si>
  <si>
    <t>https://www.linkedin.com/company/department-of-state-industry-liaison/</t>
  </si>
  <si>
    <t>AVC</t>
  </si>
  <si>
    <t>Bureau of Arms Control, Deterrence, and Stability</t>
  </si>
  <si>
    <t>X</t>
  </si>
  <si>
    <t>https://x.com/StateADS</t>
  </si>
  <si>
    <t>Facebook</t>
  </si>
  <si>
    <t>https://www.facebook.com/StateADS</t>
  </si>
  <si>
    <t>CA</t>
  </si>
  <si>
    <t>Bureau of Consular Affairs</t>
  </si>
  <si>
    <t>https://www.facebook.com/travelgov/</t>
  </si>
  <si>
    <t>Instagram</t>
  </si>
  <si>
    <t>https://www.instagram.com/travelgov/</t>
  </si>
  <si>
    <t xml:space="preserve">X </t>
  </si>
  <si>
    <t>https://x.com/TravelGov</t>
  </si>
  <si>
    <t>YouTube</t>
  </si>
  <si>
    <t>https://www.youtube.com/user/TravelGov</t>
  </si>
  <si>
    <t>Whatsapp</t>
  </si>
  <si>
    <t>https://whatsapp.com/channel/0029Var8szHInlqREVL5jC0g</t>
  </si>
  <si>
    <t>CDP</t>
  </si>
  <si>
    <t>Bureau of Cyberspace and Digital Policy</t>
  </si>
  <si>
    <t>https://x.com/StateCDP</t>
  </si>
  <si>
    <t>https://www.linkedin.com/company/bureau-of-cyberspace-and-digital-policy/</t>
  </si>
  <si>
    <t>https://www.youtube.com/@StateCDP</t>
  </si>
  <si>
    <t>CSO</t>
  </si>
  <si>
    <t>Bureau of Conflict and Stabilization Operations</t>
  </si>
  <si>
    <t>https://www.facebook.com/stateCSO/</t>
  </si>
  <si>
    <t>https://x.com/StateCSO</t>
  </si>
  <si>
    <t>CT</t>
  </si>
  <si>
    <t>Bureau of Counterterrorism</t>
  </si>
  <si>
    <t>https://x.com/StateDeptCT</t>
  </si>
  <si>
    <t>D</t>
  </si>
  <si>
    <t>Deputy Secretary of State</t>
  </si>
  <si>
    <t>https://x.com/DeputySecState</t>
  </si>
  <si>
    <t>https://www.instagram.com/deputysecstate/</t>
  </si>
  <si>
    <t>D-MR</t>
  </si>
  <si>
    <t>Deputy Secretary of State for Management and Resources</t>
  </si>
  <si>
    <t>https://x.com/DepSecStateMR</t>
  </si>
  <si>
    <t xml:space="preserve">https://www.instagram.com/depsecstatemr/ </t>
  </si>
  <si>
    <t>DRL</t>
  </si>
  <si>
    <t>Bureau of Democracy, Human Rights, and Labor</t>
  </si>
  <si>
    <t>https://www.facebook.com/StateDRL/</t>
  </si>
  <si>
    <t>https://www.instagram.com/usa_humanrights/</t>
  </si>
  <si>
    <t>https://x.com/StateDRL</t>
  </si>
  <si>
    <t>https://www.youtube.com/@bureauofdemocracyhumanrigh870</t>
  </si>
  <si>
    <t>DS</t>
  </si>
  <si>
    <t>Diplomatic Security Service</t>
  </si>
  <si>
    <t>https://www.facebook.com/StateDeptDSS</t>
  </si>
  <si>
    <t>https://www.instagram.com/statedeptdss/</t>
  </si>
  <si>
    <t>https://x.com/StateDeptDSS</t>
  </si>
  <si>
    <t>https://www.youtube.com/@DiplomaticSecurityService</t>
  </si>
  <si>
    <t>https://www.linkedin.com/showcase/diplomatic-security-service/</t>
  </si>
  <si>
    <t>Flickr</t>
  </si>
  <si>
    <t>https://www.flickr.com/people/statedeptdss/</t>
  </si>
  <si>
    <t>Overseas Security Advisory Council</t>
  </si>
  <si>
    <t>https://x.com/OSACState</t>
  </si>
  <si>
    <t>https://www.linkedin.com/company/osacgov/</t>
  </si>
  <si>
    <t>E</t>
  </si>
  <si>
    <t>Office of Global Partnerships</t>
  </si>
  <si>
    <t>https://www.facebook.com/GPAtState</t>
  </si>
  <si>
    <t>https://x.com/GPatState</t>
  </si>
  <si>
    <t>https://www.linkedin.com/company/gpatstate/</t>
  </si>
  <si>
    <t>Office of the Science and Technology Adviser</t>
  </si>
  <si>
    <t>https://www.linkedin.com/company/stas-at-state/</t>
  </si>
  <si>
    <t>Under Secretary of State for Economic Growth, Energy and the Environment</t>
  </si>
  <si>
    <t>https://www.linkedin.com/company/state-e/</t>
  </si>
  <si>
    <t>https://x.com/State_E</t>
  </si>
  <si>
    <t>https://www.facebook.com/StateDeptE/</t>
  </si>
  <si>
    <t>EB</t>
  </si>
  <si>
    <t>Bureau of Economic and Business Affairs</t>
  </si>
  <si>
    <t>https://www.facebook.com/EconAtState</t>
  </si>
  <si>
    <t>https://www.linkedin.com/company/econatstate/</t>
  </si>
  <si>
    <t>https://x.com/EconAtState</t>
  </si>
  <si>
    <t>Office of Science and Technology Adviser to Secretary</t>
  </si>
  <si>
    <t>https://x.com/STASatState</t>
  </si>
  <si>
    <t>Special Representative for Commercial and Business Affairs</t>
  </si>
  <si>
    <t>https://x.com/BizAtState</t>
  </si>
  <si>
    <t>https://www.linkedin.com/company/bizatstate/</t>
  </si>
  <si>
    <t>ECA</t>
  </si>
  <si>
    <t>Ambassadors Fund for Cultural Preservation</t>
  </si>
  <si>
    <t>https://www.facebook.com/usafcp/</t>
  </si>
  <si>
    <t>American English</t>
  </si>
  <si>
    <t>https://www.facebook.com/AmericanEnglishatState/</t>
  </si>
  <si>
    <t>American English for Educators</t>
  </si>
  <si>
    <t>https://www.facebook.com/AmericanEnglishforEducators</t>
  </si>
  <si>
    <t>https://www.youtube.com/user/StateAmericanEnglish</t>
  </si>
  <si>
    <t>American Spaces</t>
  </si>
  <si>
    <t>https://x.com/AmericanSpaces</t>
  </si>
  <si>
    <t>Assistant Secretary of State Bureau of Educational and Cultural Affairs</t>
  </si>
  <si>
    <t>https://x.com/ECA_AS</t>
  </si>
  <si>
    <t>Bureau of Educational and Cultural Affairs</t>
  </si>
  <si>
    <t>https://www.facebook.com/ExchangeProgramsAtState</t>
  </si>
  <si>
    <t>https://www.instagram.com/exchangeourworld</t>
  </si>
  <si>
    <t>https://x.com/ECAatState</t>
  </si>
  <si>
    <t>https://www.youtube.com/user/exchangesvideo</t>
  </si>
  <si>
    <t>https://www.flickr.com/photos/exchangesphotos/</t>
  </si>
  <si>
    <t>Cultural Heritage</t>
  </si>
  <si>
    <t>https://x.com/HeritageAtState</t>
  </si>
  <si>
    <t>Cultural Programs Division</t>
  </si>
  <si>
    <t>https://x.com/CultureAtState</t>
  </si>
  <si>
    <t>EducationUSA</t>
  </si>
  <si>
    <t>https://www.facebook.com/EducationUSA/</t>
  </si>
  <si>
    <t>https://www.instagram.com/educationusa/</t>
  </si>
  <si>
    <t>https://x.com/educationusa</t>
  </si>
  <si>
    <t>https://www.linkedin.com/company/educationusa/</t>
  </si>
  <si>
    <t>https://www.youtube.com/user/EducationUSAtv</t>
  </si>
  <si>
    <t>English Language Programs</t>
  </si>
  <si>
    <t>https://x.com/ELPrograms</t>
  </si>
  <si>
    <t>International Exchange Alumni</t>
  </si>
  <si>
    <t>https://www.facebook.com/InternationalExchangeAlumni</t>
  </si>
  <si>
    <t>https://www.instagram.com/voicesofexchange/</t>
  </si>
  <si>
    <t>https://x.com/exchangealumni</t>
  </si>
  <si>
    <t>https://www.linkedin.com/company/exchangealumni/</t>
  </si>
  <si>
    <t>International Visitor Leadership Program</t>
  </si>
  <si>
    <t>https://www.facebook.com/StateIVLP</t>
  </si>
  <si>
    <t>https://www.instagram.com/StateIVLP/</t>
  </si>
  <si>
    <t>https://x.com/StateIVLP</t>
  </si>
  <si>
    <t>https://www.linkedin.com/company/ivlp-international-visitor-leadership-program/</t>
  </si>
  <si>
    <t>Sports Diplomacy</t>
  </si>
  <si>
    <t>https://www.facebook.com/SportsDiplomacyDivision/</t>
  </si>
  <si>
    <t>https://www.instagram.com/sportsdiplomacy/</t>
  </si>
  <si>
    <t>https://x.com/SportsDiplomacy</t>
  </si>
  <si>
    <t>The Fulbright Program</t>
  </si>
  <si>
    <t>https://www.facebook.com/fulbright</t>
  </si>
  <si>
    <t>https://www.instagram.com/the_fulbright_program/</t>
  </si>
  <si>
    <t>https://x.com/FulbrightPrgrm</t>
  </si>
  <si>
    <t>https://www.linkedin.com/company/the-fulbright-program/</t>
  </si>
  <si>
    <t>ENR</t>
  </si>
  <si>
    <t>Assistant Secretary of State for Energy Resources</t>
  </si>
  <si>
    <t>https://x.com/AsstSecENR</t>
  </si>
  <si>
    <t>Bureau of Energy Resources</t>
  </si>
  <si>
    <t>https://x.com/EnergyAtState</t>
  </si>
  <si>
    <t>https://www.linkedin.com/company/bureauofenergyresources/</t>
  </si>
  <si>
    <t>https://www.youtube.com/@bureauofenergyresources5835</t>
  </si>
  <si>
    <t>FSI</t>
  </si>
  <si>
    <t>Foreign Service Institute (FSI)</t>
  </si>
  <si>
    <t>https://www.facebook.com/ForeignServiceInstituteFSI/</t>
  </si>
  <si>
    <t>https://x.com/fsiatstate</t>
  </si>
  <si>
    <t>https://www.linkedin.com/company/foreign-service-institute/</t>
  </si>
  <si>
    <t>https://www.youtube.com/@FSI4000/</t>
  </si>
  <si>
    <t>Office of the Historian</t>
  </si>
  <si>
    <t>https://x.com/HistoryAtState</t>
  </si>
  <si>
    <t>GPA</t>
  </si>
  <si>
    <t>South Africa</t>
  </si>
  <si>
    <t>Africa Regional Media Hub</t>
  </si>
  <si>
    <t>https://www.facebook.com/USAfricaMediaHub/</t>
  </si>
  <si>
    <t>https://x.com/AfricaMediaHub</t>
  </si>
  <si>
    <t>Bangkok</t>
  </si>
  <si>
    <t>Asia Pacific Media Hub</t>
  </si>
  <si>
    <t>https://www.facebook.com/eapmediahub</t>
  </si>
  <si>
    <t>https://x.com/eAsiaMediaHub</t>
  </si>
  <si>
    <t>Assistant Secretary for Global Public Affairs</t>
  </si>
  <si>
    <t>https://x.com/GPA_AS</t>
  </si>
  <si>
    <t>Belgium</t>
  </si>
  <si>
    <t>Brussels Media Hub</t>
  </si>
  <si>
    <t>https://www.facebook.com/usaporusski/</t>
  </si>
  <si>
    <t>https://x.com/USAandEurope</t>
  </si>
  <si>
    <t>https://x.com/USAenFrancais</t>
  </si>
  <si>
    <t>https://x.com/USApoRusski</t>
  </si>
  <si>
    <t>Bureau of Global Public Affairs</t>
  </si>
  <si>
    <t>https://www.flickr.com/people/iip-photo-archive/</t>
  </si>
  <si>
    <t>Deputy Spokesperson to the Secretary</t>
  </si>
  <si>
    <t>https://x.com/statedeputyspox</t>
  </si>
  <si>
    <t>United Arab Emirates</t>
  </si>
  <si>
    <t>Dubai Regional Media Hub</t>
  </si>
  <si>
    <t>https://www.facebook.com/USAbilAraby/</t>
  </si>
  <si>
    <t>https://www.instagram.com/usabilaraby/</t>
  </si>
  <si>
    <t>https://x.com/USAbilAraby</t>
  </si>
  <si>
    <t>Foreign Press Centers</t>
  </si>
  <si>
    <t>https://www.facebook.com/USDoS.FPC</t>
  </si>
  <si>
    <t>https://x.com/ForeignPressCtr</t>
  </si>
  <si>
    <t>United Kingdom</t>
  </si>
  <si>
    <t>London Media Hub</t>
  </si>
  <si>
    <t>https://www.facebook.com/USAHindiMein/</t>
  </si>
  <si>
    <t>https://x.com/USAHindiMein</t>
  </si>
  <si>
    <t xml:space="preserve">https://www.facebook.com/USAUrdu/ </t>
  </si>
  <si>
    <t>https://x.com/USAUrdu</t>
  </si>
  <si>
    <t>Media Hub of the Americas</t>
  </si>
  <si>
    <t>https://x.com/USAemPortugues</t>
  </si>
  <si>
    <t>https://www.facebook.com/USAenEspanolOficial</t>
  </si>
  <si>
    <t>https://x.com/USAenEspanol</t>
  </si>
  <si>
    <t>ShareAmerica</t>
  </si>
  <si>
    <t>https://x.com/AmericaGovFr</t>
  </si>
  <si>
    <t>https://x.com/MeiGuoCanKao</t>
  </si>
  <si>
    <t>https://x.com/shareamerica</t>
  </si>
  <si>
    <t>https://x.com/ShareAmerica_Ar</t>
  </si>
  <si>
    <t>https://www.youtube.com/user/Americagov</t>
  </si>
  <si>
    <t>https://www.youtube.com/@MeiGuoCanKao/</t>
  </si>
  <si>
    <t>Spokesperson to the Secretary</t>
  </si>
  <si>
    <t>https://x.com/statedeptspox</t>
  </si>
  <si>
    <t>U.S. Department of State</t>
  </si>
  <si>
    <t>https://www.facebook.com/statedept/</t>
  </si>
  <si>
    <t>https://www.flickr.com/photos/statephotos</t>
  </si>
  <si>
    <t>https://www.instagram.com/statedept</t>
  </si>
  <si>
    <t>https://www.linkedin.com/company/doscareers/</t>
  </si>
  <si>
    <t>https://x.com/StateDept</t>
  </si>
  <si>
    <t>https://www.youtube.com/@StateDept</t>
  </si>
  <si>
    <t>Rumble</t>
  </si>
  <si>
    <t>https://rumble.com/c/StateDept</t>
  </si>
  <si>
    <t>Substack</t>
  </si>
  <si>
    <t>https://statedept.substack.com/</t>
  </si>
  <si>
    <t>GTM</t>
  </si>
  <si>
    <t>Director General of the Foreign Service &amp; Director of Global Talent</t>
  </si>
  <si>
    <t>https://x.com/StateDG</t>
  </si>
  <si>
    <t>Global Community Liaison Office</t>
  </si>
  <si>
    <t>https://www.facebook.com/GlobalCommunityLiaisonOffice</t>
  </si>
  <si>
    <t>https://youtube.com/@GlobalCommunityLiaisonOffice</t>
  </si>
  <si>
    <t>https://www.linkedin.com/company/gclogei</t>
  </si>
  <si>
    <t>State Dept GTM</t>
  </si>
  <si>
    <t>https://www.facebook.com/StateDeptGTM/</t>
  </si>
  <si>
    <t>State Magazine</t>
  </si>
  <si>
    <t>https://www.facebook.com/statemagazine</t>
  </si>
  <si>
    <t>https://x.com/StateMag</t>
  </si>
  <si>
    <t>https://www.instagram.com/instatemag/</t>
  </si>
  <si>
    <t>U.S. Department of State - Careers</t>
  </si>
  <si>
    <t>https://www.facebook.com/doscareers</t>
  </si>
  <si>
    <t>https://x.com/doscareers</t>
  </si>
  <si>
    <t>https://www.instagram.com/doscareers</t>
  </si>
  <si>
    <t>U.S. Department of State - Careers for Individuals with Disabilities</t>
  </si>
  <si>
    <t>https://www.linkedin.com/showcase/u-s-department-of-state---careers-for-persons-with-disabilities</t>
  </si>
  <si>
    <t>INL</t>
  </si>
  <si>
    <t>Bureau of International Narcotics and Law Enforcement Affairs</t>
  </si>
  <si>
    <t>https://www.facebook.com/StateINL/</t>
  </si>
  <si>
    <t>https://www.instagram.com/stateinl/</t>
  </si>
  <si>
    <t>https://x.com/StateINL</t>
  </si>
  <si>
    <t>IRF</t>
  </si>
  <si>
    <t>Ambassador at Large for International Religious Freedom</t>
  </si>
  <si>
    <t>https://x.com/IRF_Ambassador</t>
  </si>
  <si>
    <t>Office of International Religious Freedom</t>
  </si>
  <si>
    <t>https://x.com/StateIRF</t>
  </si>
  <si>
    <t>https://www.facebook.com/DOSIRF</t>
  </si>
  <si>
    <t>IRM</t>
  </si>
  <si>
    <t>Bureau of Information Resource Management</t>
  </si>
  <si>
    <t>https://www.linkedin.com/showcase/usdos-irm/</t>
  </si>
  <si>
    <t>Chief Information Officer</t>
  </si>
  <si>
    <t>https://x.com/StateDept_CIO</t>
  </si>
  <si>
    <t>Virtual Student Federal Service</t>
  </si>
  <si>
    <t>https://www.facebook.com/VSFSatState</t>
  </si>
  <si>
    <t>https://www.linkedin.com/showcase/usdos-vsfs/</t>
  </si>
  <si>
    <t>ISN</t>
  </si>
  <si>
    <t>Bureau of International Security and Nonproliferation</t>
  </si>
  <si>
    <t>https://www.facebook.com/StateDepartment.ISNBureau</t>
  </si>
  <si>
    <t>https://www.linkedin.com/company/state-isn/</t>
  </si>
  <si>
    <t>https://x.com/StateISN</t>
  </si>
  <si>
    <t>https://www.flickr.com/photos/isnbureau/</t>
  </si>
  <si>
    <t>Special Representative for Nuclear Nonproliferation</t>
  </si>
  <si>
    <t>https://x.com/USNPT</t>
  </si>
  <si>
    <t>J</t>
  </si>
  <si>
    <t>Office to Monitor &amp; Combat Trafficking in Persons</t>
  </si>
  <si>
    <t>https://www.facebook.com/usdos.jtip</t>
  </si>
  <si>
    <t>https://www.instagram.com/trafficking_in_persons_state/</t>
  </si>
  <si>
    <t>https://x.com/JTIP_State</t>
  </si>
  <si>
    <t>Special Envoy to Monitor and Combat Antisemitism</t>
  </si>
  <si>
    <t>https://x.com/StateSEAS</t>
  </si>
  <si>
    <t>https://www.instagram.com/state_seas/</t>
  </si>
  <si>
    <t>M</t>
  </si>
  <si>
    <t>Art in Embassies</t>
  </si>
  <si>
    <t>https://www.facebook.com/ArtinembassiesAIE</t>
  </si>
  <si>
    <t>https://x.com/ArtinEmbassies</t>
  </si>
  <si>
    <t>https://www.youtube.com/user/artinembassies</t>
  </si>
  <si>
    <t>https://www.instagram.com/artinembassies</t>
  </si>
  <si>
    <t>Director of Art in Embassies</t>
  </si>
  <si>
    <t>https://x.com/DirARTState</t>
  </si>
  <si>
    <t>https://www.instagram.com/DirARTState/</t>
  </si>
  <si>
    <t>Office of Foreign Missions</t>
  </si>
  <si>
    <t>https://www.facebook.com/ofmdc</t>
  </si>
  <si>
    <t>U.S. Department of State Center for Analytics</t>
  </si>
  <si>
    <t>https://www.linkedin.com/company/doscfa/</t>
  </si>
  <si>
    <t>MED</t>
  </si>
  <si>
    <t>Bureau of Medical Services</t>
  </si>
  <si>
    <t>https://www.linkedin.com/showcase/usdos-med/</t>
  </si>
  <si>
    <t>OBO</t>
  </si>
  <si>
    <t>Bureau of Overseas Buildings Operations</t>
  </si>
  <si>
    <t>https://www.linkedin.com/showcase/usdos-obo/</t>
  </si>
  <si>
    <t>https://www.facebook.com/StateOBO</t>
  </si>
  <si>
    <t>Threads</t>
  </si>
  <si>
    <t>https://www.threads.net/@state_obo</t>
  </si>
  <si>
    <t>https://www.instagram.com/state_obo/</t>
  </si>
  <si>
    <t>https://www.youtube.com/@State_OBO</t>
  </si>
  <si>
    <t>OES</t>
  </si>
  <si>
    <t>Bureau of Oceans and International Environmental and Scientific Affairs</t>
  </si>
  <si>
    <t>https://www.facebook.com/ScienceDiplomacyUSA/</t>
  </si>
  <si>
    <t>https://www.flickr.com/photos/stateoesphotos/</t>
  </si>
  <si>
    <t>https://youtube.com/@sciencediplomacyusa429</t>
  </si>
  <si>
    <t>https://x.com/SciDiplomacyUSA</t>
  </si>
  <si>
    <t>https://www.instagram.com/sciencediplomacy_usa/</t>
  </si>
  <si>
    <t>https://www.linkedin.com/company/stateoes/</t>
  </si>
  <si>
    <t>GIST Network</t>
  </si>
  <si>
    <t>https://www.facebook.com/GISTnet</t>
  </si>
  <si>
    <t>https://x.com/GISTNetwork</t>
  </si>
  <si>
    <t>P</t>
  </si>
  <si>
    <t>Under Secretary for Political Affairs</t>
  </si>
  <si>
    <t>https://x.com/UnderSecStateP</t>
  </si>
  <si>
    <t>PM</t>
  </si>
  <si>
    <t>Assistant Secretary Bureau of Political-Military Affairs</t>
  </si>
  <si>
    <t>https://x.com/AsstSecPM</t>
  </si>
  <si>
    <t>Bureau of Political-Military Affairs</t>
  </si>
  <si>
    <t>https://x.com/StateDeptPM</t>
  </si>
  <si>
    <t>PRM</t>
  </si>
  <si>
    <t>Assistant Secretary of State for the Bureau of Population, Refugees, and Migration</t>
  </si>
  <si>
    <t>https://x.com/PRMAsstSec</t>
  </si>
  <si>
    <t>Bureau of Population, Refugees, and Migration</t>
  </si>
  <si>
    <t>https://www.facebook.com/State.PRM</t>
  </si>
  <si>
    <t>https://www.flickr.com/photos/stateprm/</t>
  </si>
  <si>
    <t>https://www.instagram.com/stateprm/</t>
  </si>
  <si>
    <t>https://x.com/StatePRM</t>
  </si>
  <si>
    <t>R</t>
  </si>
  <si>
    <t>National Museum of American Diplomacy</t>
  </si>
  <si>
    <t>https://www.facebook.com/NMADmuseum/</t>
  </si>
  <si>
    <t>https://www.instagram.com/NMADmuseum</t>
  </si>
  <si>
    <t>https://www.flickr.com/photos/nmadmuseum/</t>
  </si>
  <si>
    <t>https://www.threads.net/@nmadmuseum</t>
  </si>
  <si>
    <t>https://x.com/NMADmuseum</t>
  </si>
  <si>
    <t>https://www.linkedin.com/company/nmadmuseum/</t>
  </si>
  <si>
    <t>Under Secretary of State for Public Diplomacy and Public Affairs</t>
  </si>
  <si>
    <t>https://x.com/UndersecPD</t>
  </si>
  <si>
    <t>S</t>
  </si>
  <si>
    <t>Bureau of Global Health Security and Diplomacy</t>
  </si>
  <si>
    <t>https://www.linkedin.com/company/state-global-health-security-and-diplomacy/</t>
  </si>
  <si>
    <t>Counselor of the Department</t>
  </si>
  <si>
    <t>https://x.com/CounselorDOS</t>
  </si>
  <si>
    <t>Office of Global Women's Issues</t>
  </si>
  <si>
    <t>https://x.com/stategwi</t>
  </si>
  <si>
    <t>https://www.facebook.com/StateGWI/</t>
  </si>
  <si>
    <t>https://www.linkedin.com/company/stategwi/</t>
  </si>
  <si>
    <t>Office of the Chief of Protocol</t>
  </si>
  <si>
    <t>https://x.com/US_Protocol</t>
  </si>
  <si>
    <t>https://www.instagram.com/us_protocol</t>
  </si>
  <si>
    <t>Office of the Inspector General</t>
  </si>
  <si>
    <t>https://x.com/StateOIG</t>
  </si>
  <si>
    <t>Office of the U.S. Coordinator for the Arctic Region</t>
  </si>
  <si>
    <t>https://x.com/us_arctic</t>
  </si>
  <si>
    <t>PEPFAR</t>
  </si>
  <si>
    <t>https://x.com/PEPFAR</t>
  </si>
  <si>
    <t>https://www.instagram.com/pepfar/</t>
  </si>
  <si>
    <t>https://www.youtube.com/user/uspepfar</t>
  </si>
  <si>
    <t>https://www.facebook.com/PEPFAR</t>
  </si>
  <si>
    <t>Secretary of State</t>
  </si>
  <si>
    <t>https://x.com/secrubio</t>
  </si>
  <si>
    <t>https://www.instagram.com/secrubio/</t>
  </si>
  <si>
    <t>Special Representative for City and State Diplomacy</t>
  </si>
  <si>
    <t>https://x.com/SubnationalDip</t>
  </si>
  <si>
    <t>U.S. Special Presidential Envoy for Hostage Affairs</t>
  </si>
  <si>
    <t>https://x.com/StateSPEHA</t>
  </si>
  <si>
    <t>T</t>
  </si>
  <si>
    <t>Under Secretary of State for Arms Control and International Security</t>
  </si>
  <si>
    <t>https://x.com/undersect</t>
  </si>
  <si>
    <t>AF</t>
  </si>
  <si>
    <t>Angola</t>
  </si>
  <si>
    <t>U.S. Ambassador to Angola</t>
  </si>
  <si>
    <t>https://x.com/USAmbAngola</t>
  </si>
  <si>
    <t>U.S. Embassy Luanda</t>
  </si>
  <si>
    <t>https://www.facebook.com/USinLuanda</t>
  </si>
  <si>
    <t>https://www.instagram.com/usembassyluanda/</t>
  </si>
  <si>
    <t>https://x.com/usambangola/</t>
  </si>
  <si>
    <t>Benin</t>
  </si>
  <si>
    <t>U.S. Embassy Cotonou</t>
  </si>
  <si>
    <t>https://www.facebook.com/usembassybenin/</t>
  </si>
  <si>
    <t>https://x.com/USEmbassyBenin</t>
  </si>
  <si>
    <t>https://www.flickr.com/photos/benin_cca</t>
  </si>
  <si>
    <t>https://youtube.com/@usembassycotonou</t>
  </si>
  <si>
    <t>Botswana</t>
  </si>
  <si>
    <t>U.S. Embassy Gaborone</t>
  </si>
  <si>
    <t>https://www.facebook.com/U.S.EmbassyGaborone/</t>
  </si>
  <si>
    <t>https://www.instagram.com/usembassybw/</t>
  </si>
  <si>
    <t>https://x.com/USEmbassyBW</t>
  </si>
  <si>
    <t>https://youtube.com/@u.s.missionbotswana8534</t>
  </si>
  <si>
    <t>https://www.flickr.com/photos/usembassybotswana/</t>
  </si>
  <si>
    <t>Burkina Faso</t>
  </si>
  <si>
    <t>U.S. Embassy Ouagadougou</t>
  </si>
  <si>
    <t>https://www.facebook.com/U.S.EmbassyBF/</t>
  </si>
  <si>
    <t>https://www.instagram.com/usembassyouaga/</t>
  </si>
  <si>
    <t>https://x.com/Usembassyouaga</t>
  </si>
  <si>
    <t>https://www.youtube.com/user/usembassyburkina</t>
  </si>
  <si>
    <t>Burundi</t>
  </si>
  <si>
    <t>U.S. Embassy Bujumbura</t>
  </si>
  <si>
    <t>https://www.facebook.com/usembassy.bujumbura/</t>
  </si>
  <si>
    <t>https://x.com/US_Emb_Burundi</t>
  </si>
  <si>
    <t>Cabo Verde</t>
  </si>
  <si>
    <t>U.S. Embassy Praia</t>
  </si>
  <si>
    <t>https://www.facebook.com/USEmbassyPraia/</t>
  </si>
  <si>
    <t>https://www.instagram.com/usembassypraia</t>
  </si>
  <si>
    <t>https://x.com/USEmbassyPraia</t>
  </si>
  <si>
    <t>https://www.flickr.com/photos/embaixadaeua-caboverde/</t>
  </si>
  <si>
    <t>Cameroon</t>
  </si>
  <si>
    <t>U.S. Embassy Yaounde</t>
  </si>
  <si>
    <t>https://www.facebook.com/yaounde.usembassy/</t>
  </si>
  <si>
    <t>https://www.instagram.com/usembyaounde?</t>
  </si>
  <si>
    <t>https://x.com/USEmbYaounde</t>
  </si>
  <si>
    <t>https://www.youtube.com/@USEmbassyYaounde</t>
  </si>
  <si>
    <t>Central African Republic</t>
  </si>
  <si>
    <t>U.S. Embassy Bangui</t>
  </si>
  <si>
    <t>https://www.facebook.com/usembassy.bangui/</t>
  </si>
  <si>
    <t>https://x.com/EmbassyBangui</t>
  </si>
  <si>
    <t>Chad</t>
  </si>
  <si>
    <t>U.S. Embassy N'djamena</t>
  </si>
  <si>
    <t>https://www.facebook.com/ndjamena.usembassy/</t>
  </si>
  <si>
    <t>https://x.com/USEmbNDjamena</t>
  </si>
  <si>
    <t>Comoros</t>
  </si>
  <si>
    <t>U.S. Embassy Comoros</t>
  </si>
  <si>
    <t>https://www.facebook.com/USComoros/</t>
  </si>
  <si>
    <t>https://x.com/USComoros</t>
  </si>
  <si>
    <t>Côte d'Ivoire</t>
  </si>
  <si>
    <t>U.S. Embassy Abidjan</t>
  </si>
  <si>
    <t>https://www.facebook.com/USAbidjan/</t>
  </si>
  <si>
    <t>https://www.instagram.com/USEmbAbidjan/</t>
  </si>
  <si>
    <t>https://x.com/USEmbAbidjan</t>
  </si>
  <si>
    <t>https://www.flickr.com/photos/us_embassy_abj/</t>
  </si>
  <si>
    <t>https://www.youtube.com/@u.s.embassyabidjan</t>
  </si>
  <si>
    <t>Democratic Republic of the Congo</t>
  </si>
  <si>
    <t>U.S. Embassy Kinshasa</t>
  </si>
  <si>
    <t>https://www.facebook.com/ambassadeusakinshasa</t>
  </si>
  <si>
    <t>U.S. Ambassador to the DRC</t>
  </si>
  <si>
    <t>https://x.com/USAmbDRC</t>
  </si>
  <si>
    <t>https://x.com/USEmbKinshasa</t>
  </si>
  <si>
    <t>https://www.youtube.com/@u.s.embassykinshasa619</t>
  </si>
  <si>
    <t>https://www.flickr.com/photos/124109311@N07</t>
  </si>
  <si>
    <t>WhatsApp</t>
  </si>
  <si>
    <t>https://whatsapp.com/channel/0029Vao93mQ1nozAEcsApT0Q</t>
  </si>
  <si>
    <t>Djibouti</t>
  </si>
  <si>
    <t>U.S. Embassy Djibouti</t>
  </si>
  <si>
    <t>https://www.facebook.com/usembassy.djibouti/</t>
  </si>
  <si>
    <t>https://x.com/US_Emb_Djibouti</t>
  </si>
  <si>
    <t>https://www.youtube.com/@USEmbassyDjibouti</t>
  </si>
  <si>
    <t>Equatorial Guinea</t>
  </si>
  <si>
    <t>U.S. Embassy Malabo</t>
  </si>
  <si>
    <t>https://www.facebook.com/malabo.usembassy</t>
  </si>
  <si>
    <t>https://www.instagram.com/usembassymalabo/</t>
  </si>
  <si>
    <t>https://x.com/USEmbassyEG</t>
  </si>
  <si>
    <t>Eritrea</t>
  </si>
  <si>
    <t>U.S. Embassy Asmara</t>
  </si>
  <si>
    <t>https://www.facebook.com/usembassyasmara/</t>
  </si>
  <si>
    <t>Eswatini</t>
  </si>
  <si>
    <t>U.S. Embassy Mbabane</t>
  </si>
  <si>
    <t>https://www.facebook.com/usembassy.eswatini/</t>
  </si>
  <si>
    <t>https://x.com/USEmbEswatini</t>
  </si>
  <si>
    <t>Ethiopia</t>
  </si>
  <si>
    <t>U.S. Embassy Addis Ababa</t>
  </si>
  <si>
    <t>https://www.facebook.com/us.emb.addisababa/</t>
  </si>
  <si>
    <t>https://www.instagram.com/usembassyaddisababa/</t>
  </si>
  <si>
    <t>https://x.com/USEmbassyAddis</t>
  </si>
  <si>
    <t>https://youtube.com/@USEmbassyAddisAbabaEthiopia</t>
  </si>
  <si>
    <t>https://www.flickr.com/photos/usembassyaddisababa</t>
  </si>
  <si>
    <t>U.S. Mission to the AU</t>
  </si>
  <si>
    <t>https://www.facebook.com/USAU09</t>
  </si>
  <si>
    <t>https://x.com/US_AU</t>
  </si>
  <si>
    <t>https://www.flickr.com/photos/146009313@N06/</t>
  </si>
  <si>
    <t>France</t>
  </si>
  <si>
    <t>Africa Regional Services</t>
  </si>
  <si>
    <t>https://www.facebook.com/usdos.nouveauxhorizons/</t>
  </si>
  <si>
    <t>https://x.com/StateDeptARS</t>
  </si>
  <si>
    <t>https://www.youtube.com/@ARSParis</t>
  </si>
  <si>
    <t>Gabon</t>
  </si>
  <si>
    <t>U.S. Embassy Libreville</t>
  </si>
  <si>
    <t>https://www.facebook.com/USEmbassyLibreville</t>
  </si>
  <si>
    <t>https://www.instagram.com/us_embassy_libreville</t>
  </si>
  <si>
    <t>https://x.com/usembassygabon</t>
  </si>
  <si>
    <t>Gambia</t>
  </si>
  <si>
    <t>U.S. Embassy Banjul</t>
  </si>
  <si>
    <t>https://www.facebook.com/U.S.EmbassyBanjul/</t>
  </si>
  <si>
    <t>https://x.com/USEmbassyBanjul</t>
  </si>
  <si>
    <t>Ghana</t>
  </si>
  <si>
    <t>U.S. Embassy Accra</t>
  </si>
  <si>
    <t>https://www.facebook.com/USEmbassyGhana/</t>
  </si>
  <si>
    <t>https://www.instagram.com/usembassyghana</t>
  </si>
  <si>
    <t>https://x.com/USEmbassyGhana</t>
  </si>
  <si>
    <t>https://www.youtube.com/@usembassyghana</t>
  </si>
  <si>
    <t>https://www.flickr.com/photos/usembghana</t>
  </si>
  <si>
    <t>Guinea</t>
  </si>
  <si>
    <t>U.S. Embassy Conakry</t>
  </si>
  <si>
    <t>https://www.facebook.com/usembassyconakry/</t>
  </si>
  <si>
    <t>https://www.instagram.com/usembassyconakry/</t>
  </si>
  <si>
    <t>https://x.com/EmbassyConakry</t>
  </si>
  <si>
    <t>https://www.youtube.com/user/usembassyconakry</t>
  </si>
  <si>
    <t>Guinea-Bissau</t>
  </si>
  <si>
    <t>U.S. Virtual Consulate Guinea-Bissau</t>
  </si>
  <si>
    <t>https://www.facebook.com/usvpp.guineabissau/</t>
  </si>
  <si>
    <t>Kenya</t>
  </si>
  <si>
    <t>U.S. Ambassador to Kenya</t>
  </si>
  <si>
    <t>https://x.com/USAmbKenya</t>
  </si>
  <si>
    <t>U.S. Embassy Nairobi</t>
  </si>
  <si>
    <t>https://www.facebook.com/U.S.EmbassyNairobi/</t>
  </si>
  <si>
    <t>https://www.instagram.com/usembassynairobi</t>
  </si>
  <si>
    <t>https://x.com/USEmbassyKenya</t>
  </si>
  <si>
    <t>https://www.youtube.com/@THEUSEMBASSYNAIROBI</t>
  </si>
  <si>
    <t>https://www.flickr.com/photos/us_embassy_nairobi/</t>
  </si>
  <si>
    <t>Lesotho</t>
  </si>
  <si>
    <t>U.S. Embassy Maseru</t>
  </si>
  <si>
    <t>https://www.facebook.com/usdos.Lesotho/</t>
  </si>
  <si>
    <t>https://x.com/usembassymaseru</t>
  </si>
  <si>
    <t>Liberia</t>
  </si>
  <si>
    <t>U.S. Embassy Monrovia</t>
  </si>
  <si>
    <t>https://www.facebook.com/monrovia.usembassy</t>
  </si>
  <si>
    <t>https://x.com/embassymonrovia</t>
  </si>
  <si>
    <t>https://www.flickr.com/photos/usembassymonrovia/</t>
  </si>
  <si>
    <t>Madagascar</t>
  </si>
  <si>
    <t>U.S. Embassy Antananarivo</t>
  </si>
  <si>
    <t>https://www.facebook.com/usembassy.madagascar/</t>
  </si>
  <si>
    <t>https://www.instagram.com/usembmada/</t>
  </si>
  <si>
    <t>https://x.com/USMadagascar</t>
  </si>
  <si>
    <t>https://www.youtube.com/@USinMadaComoros</t>
  </si>
  <si>
    <t>Malawi</t>
  </si>
  <si>
    <t>U.S. Embassy Lilongwe</t>
  </si>
  <si>
    <t>https://www.facebook.com/USEmbassyLilongwe/</t>
  </si>
  <si>
    <t>https://x.com/USEmbassyLLW</t>
  </si>
  <si>
    <t>https://www.youtube.com/@U.S.EmbassyLilongwe</t>
  </si>
  <si>
    <t>https://www.flickr.com/photos/usembassylilongwe</t>
  </si>
  <si>
    <t>Mali</t>
  </si>
  <si>
    <t>U.S. Embassy Bamako</t>
  </si>
  <si>
    <t>https://www.facebook.com/USEmbassyMali</t>
  </si>
  <si>
    <t>https://x.com/USEmbassyMali</t>
  </si>
  <si>
    <r>
      <rPr>
        <rFont val="Calibri"/>
        <color rgb="FF1155CC"/>
        <sz val="12.0"/>
        <u/>
      </rPr>
      <t>https://www.youtube.com/c/USEmbassyMali21</t>
    </r>
    <r>
      <rPr>
        <rFont val="Calibri"/>
        <color rgb="FF000000"/>
        <sz val="12.0"/>
      </rPr>
      <t xml:space="preserve"> </t>
    </r>
  </si>
  <si>
    <t>Mauritania</t>
  </si>
  <si>
    <t>U.S. Embassy Nouakchott</t>
  </si>
  <si>
    <t>https://www.facebook.com/usembnouakchott/</t>
  </si>
  <si>
    <t>https://x.com/usembnouakchott</t>
  </si>
  <si>
    <t>https://www.youtube.com/@usembassynouakchott</t>
  </si>
  <si>
    <t>Mauritius</t>
  </si>
  <si>
    <t>U.S. Embassy Port Louis</t>
  </si>
  <si>
    <t>https://www.facebook.com/usembassy.portlouis/</t>
  </si>
  <si>
    <t>https://www.instagram.com/usembassymoris</t>
  </si>
  <si>
    <t>https://x.com/USEmbassyMoris</t>
  </si>
  <si>
    <t>https://www.youtube.com/@usembassyportlouis</t>
  </si>
  <si>
    <t>Mozambique</t>
  </si>
  <si>
    <t>U.S. Embassy Maputo</t>
  </si>
  <si>
    <t>https://www.facebook.com/U.S.EmbassyMozambique</t>
  </si>
  <si>
    <t>https://www.instagram.com/usembassymozambique/</t>
  </si>
  <si>
    <r>
      <rPr>
        <rFont val="Calibri"/>
        <color rgb="FF1155CC"/>
        <sz val="12.0"/>
        <u/>
      </rPr>
      <t>https://x.com/USEmbassyMoz</t>
    </r>
    <r>
      <rPr>
        <rFont val="Calibri"/>
        <color rgb="FF000000"/>
        <sz val="12.0"/>
        <u/>
      </rPr>
      <t xml:space="preserve"> </t>
    </r>
  </si>
  <si>
    <t>https://www.youtube.com/@USEmbassyMozambique</t>
  </si>
  <si>
    <t>https://www.flickr.com/photos/usembassymaputo/sets/</t>
  </si>
  <si>
    <t>Namibia</t>
  </si>
  <si>
    <t>U.S. Embassy Windhoek</t>
  </si>
  <si>
    <t>https://www.facebook.com/namibia.usembassy/</t>
  </si>
  <si>
    <t>https://www.instagram.com/usembnamibia/</t>
  </si>
  <si>
    <t>https://x.com/USEmbNamibia</t>
  </si>
  <si>
    <t>https://www.youtube.com/@usembnamibia</t>
  </si>
  <si>
    <t>https://www.flickr.com/photos/usembassynamibia</t>
  </si>
  <si>
    <t>Niger</t>
  </si>
  <si>
    <t>U.S. Embassy Niamey</t>
  </si>
  <si>
    <t>https://www.facebook.com/U.S.EmbassyNiamey/</t>
  </si>
  <si>
    <t>https://www.instagram.com/usembassyniger</t>
  </si>
  <si>
    <t>https://x.com/USEmbassyNiamey</t>
  </si>
  <si>
    <t>https://www.youtube.com/@USEmbassyNiamey</t>
  </si>
  <si>
    <t>Nigeria</t>
  </si>
  <si>
    <t>U.S. Embassy Abuja</t>
  </si>
  <si>
    <t>https://www.facebook.com/usinnigeria/</t>
  </si>
  <si>
    <t>https://www.instagram.com/usinnigeria/</t>
  </si>
  <si>
    <t>https://x.com/USinNigeria</t>
  </si>
  <si>
    <t>https://www.youtube.com/usembassynigeria</t>
  </si>
  <si>
    <t>https://www.flickr.com/usembassynigeria</t>
  </si>
  <si>
    <t>Soundcloud</t>
  </si>
  <si>
    <t>https://soundcloud.com/usinnigeria</t>
  </si>
  <si>
    <t>Republic of the Congo</t>
  </si>
  <si>
    <t>U.S. Embassy Brazzaville</t>
  </si>
  <si>
    <t>https://www.facebook.com/USAauCongo/</t>
  </si>
  <si>
    <t>Rwanda</t>
  </si>
  <si>
    <t>U.S. Ambassador to Rwanda</t>
  </si>
  <si>
    <t>https://x.com/USAmbRwanda</t>
  </si>
  <si>
    <t>https://x.com/USAauCongo</t>
  </si>
  <si>
    <t>U.S. Embassy Kigali</t>
  </si>
  <si>
    <t>https://www.facebook.com/kigali.usembassy/</t>
  </si>
  <si>
    <t>https://x.com/usambrwanda</t>
  </si>
  <si>
    <t>Senegal</t>
  </si>
  <si>
    <t>U.S. Embassy Dakar</t>
  </si>
  <si>
    <t>https://www.facebook.com/usembassydakar/</t>
  </si>
  <si>
    <t>https://www.instagram.com/usembassydakar/</t>
  </si>
  <si>
    <t>https://x.com/usembassydakar</t>
  </si>
  <si>
    <t>https://www.youtube.com/@usembassysenegal</t>
  </si>
  <si>
    <t>Seychelles</t>
  </si>
  <si>
    <t>U.S. Embassy in Seychelles</t>
  </si>
  <si>
    <t>https://www.facebook.com/USinSeychelles</t>
  </si>
  <si>
    <t>Sierra Leone</t>
  </si>
  <si>
    <t>U.S. Embassy Freetown</t>
  </si>
  <si>
    <t>https://www.facebook.com/sierraleone.usembassy/</t>
  </si>
  <si>
    <t>https://x.com/USEmbFreetown</t>
  </si>
  <si>
    <t>Somalia</t>
  </si>
  <si>
    <t>U.S. Mission Somalia</t>
  </si>
  <si>
    <t>https://www.facebook.com/US2Somalia/</t>
  </si>
  <si>
    <t>https://x.com/US2SOMALIA</t>
  </si>
  <si>
    <t>U.S. Ambassador to South Africa</t>
  </si>
  <si>
    <t>https://x.com/USAmbRSA</t>
  </si>
  <si>
    <t>U.S. Consulate General Cape Town</t>
  </si>
  <si>
    <t>https://www.facebook.com/USConsulateCT/</t>
  </si>
  <si>
    <t>https://www.instagram.com/usconsulatect/</t>
  </si>
  <si>
    <t>https://x.com/usconsulatect</t>
  </si>
  <si>
    <t>U.S. Embassy Pretoria</t>
  </si>
  <si>
    <t>https://www.facebook.com/USEmbassySA/</t>
  </si>
  <si>
    <t>https://www.instagram.com/usembassysa</t>
  </si>
  <si>
    <t>https://x.com/USEmbassySA</t>
  </si>
  <si>
    <t>https://www.youtube.com/@USEmbassySA</t>
  </si>
  <si>
    <t>https://www.linkedin.com/company/usembassysa/</t>
  </si>
  <si>
    <t>South Sudan</t>
  </si>
  <si>
    <t>U.S. Embassy Juba</t>
  </si>
  <si>
    <t>https://www.facebook.com/USEmbassySouthSudan</t>
  </si>
  <si>
    <t>https://x.com/USMissionJuba</t>
  </si>
  <si>
    <t>Sudan</t>
  </si>
  <si>
    <t>U.S. Embassy to Sudan</t>
  </si>
  <si>
    <t>https://x.com/USAMBSudan</t>
  </si>
  <si>
    <t>U.S. Embassy Khartoum</t>
  </si>
  <si>
    <t>https://www.facebook.com/khartoum.usembassy/</t>
  </si>
  <si>
    <t>https://x.com/USEmbassyKRT</t>
  </si>
  <si>
    <t>Tanzania</t>
  </si>
  <si>
    <t>U.S. Ambassador to Tanzania</t>
  </si>
  <si>
    <t>https://x.com/USAmbTanzania</t>
  </si>
  <si>
    <t>U.S. Embassy Dar es Salaam</t>
  </si>
  <si>
    <t>https://www.facebook.com/usembassytz/</t>
  </si>
  <si>
    <t>https://www.instagram.com/usembassytz/</t>
  </si>
  <si>
    <t>https://x.com/usembassytz</t>
  </si>
  <si>
    <t>https://www.linkedin.com/showcase/usambtanzania/</t>
  </si>
  <si>
    <t>https://www.youtube.com/@USEmbassyTZA</t>
  </si>
  <si>
    <t>Togo</t>
  </si>
  <si>
    <t>U.S. Embassy Lome</t>
  </si>
  <si>
    <t>https://www.facebook.com/USEmbassyLome/</t>
  </si>
  <si>
    <t>https://x.com/USEmbassyLome</t>
  </si>
  <si>
    <t>Uganda</t>
  </si>
  <si>
    <t>U.S. Embassy Kampala</t>
  </si>
  <si>
    <t>https://www.facebook.com/U.S.EmbassyKampala/</t>
  </si>
  <si>
    <t>https://www.instagram.com/usmissionuganda/</t>
  </si>
  <si>
    <t>https://x.com/usmissionuganda</t>
  </si>
  <si>
    <t>https://www.flickr.com/photos/us_mission_uganda</t>
  </si>
  <si>
    <t>Assistant Secretary African Affairs</t>
  </si>
  <si>
    <t>https://x.com/AsstSecStateAF</t>
  </si>
  <si>
    <t>Bureau of African Affairs</t>
  </si>
  <si>
    <t>https://www.facebook.com/DOSAfricanAffairs/</t>
  </si>
  <si>
    <t>U.S. Senior Advisor for Africa</t>
  </si>
  <si>
    <t>https://x.com/US_SrAdvisorAF</t>
  </si>
  <si>
    <t>Young African Leaders Initiative</t>
  </si>
  <si>
    <t>https://www.facebook.com/YALINetwork/</t>
  </si>
  <si>
    <t>https://x.com/YALINetwork</t>
  </si>
  <si>
    <t>https://www.youtube.com/@YALINetwork</t>
  </si>
  <si>
    <t>https://www.linkedin.com/groups/7425359/</t>
  </si>
  <si>
    <t>Zambia</t>
  </si>
  <si>
    <t>U.S. Embassy Lusaka</t>
  </si>
  <si>
    <t>https://www.facebook.com/usembassyzambia/</t>
  </si>
  <si>
    <t>https://x.com/usembassyzambia</t>
  </si>
  <si>
    <t>https://www.youtube.com/@usembassyzambia</t>
  </si>
  <si>
    <t>Zimbabwe</t>
  </si>
  <si>
    <t>U.S. Embassy Harare</t>
  </si>
  <si>
    <t>https://www.facebook.com/usembassyzimbabwe/</t>
  </si>
  <si>
    <t>https://x.com/USEmbZim</t>
  </si>
  <si>
    <t>https://www.youtube.com/@usembassyzimbabwe</t>
  </si>
  <si>
    <t>EAP</t>
  </si>
  <si>
    <t>Australia</t>
  </si>
  <si>
    <t>U.S. Consulate General Melbourne</t>
  </si>
  <si>
    <t>https://www.facebook.com/USConsulateMelbourne/</t>
  </si>
  <si>
    <t>https://www.instagram.com/usconsulatemelbourne/</t>
  </si>
  <si>
    <t>U.S. Consulate General Perth</t>
  </si>
  <si>
    <t>https://www.facebook.com/USConsulatePerth/</t>
  </si>
  <si>
    <t>https://www.instagram.com/usconsulateperth/</t>
  </si>
  <si>
    <t>U.S. Consulate General Sydney</t>
  </si>
  <si>
    <t>https://www.facebook.com/USConsulateSydney/</t>
  </si>
  <si>
    <t>https://www.instagram.com/usconsulatesydney/</t>
  </si>
  <si>
    <t>U.S. Embassy Canberra</t>
  </si>
  <si>
    <t>https://www.facebook.com/USEmbassyAustralia/</t>
  </si>
  <si>
    <t>https://www.flickr.com/photos/usembassyaustralia/</t>
  </si>
  <si>
    <t>https://www.instagram.com/usembassyaustralia/</t>
  </si>
  <si>
    <t>https://www.linkedin.com/company/us-embassy-australia/</t>
  </si>
  <si>
    <t>https://x.com/USEmbAustralia</t>
  </si>
  <si>
    <t>youtube.com/user/USEmbassyCanberra</t>
  </si>
  <si>
    <t>Brunei</t>
  </si>
  <si>
    <t>U.S. Embassy Bandar Seri Begawan</t>
  </si>
  <si>
    <t>https://www.facebook.com/usembassybsb/</t>
  </si>
  <si>
    <t>https://www.instagram.com/usembassybsb</t>
  </si>
  <si>
    <t>https://x.com/USEmbassyBSB</t>
  </si>
  <si>
    <t>https://youtube.com/@usembassybsb</t>
  </si>
  <si>
    <t>Burma</t>
  </si>
  <si>
    <t>U.S. Embassy Rangoon</t>
  </si>
  <si>
    <t>https://www.facebook.com/usembassy.rangoon/</t>
  </si>
  <si>
    <t>https://www.instagram.com/usembassymm</t>
  </si>
  <si>
    <t>https://www.linkedin.com/company/u-s-embassy-myanmar/about/</t>
  </si>
  <si>
    <t>https://x.com/USEmbassyBurma</t>
  </si>
  <si>
    <t>American Citizen Services Rangoon</t>
  </si>
  <si>
    <t>https://x.com/ACSRangoon</t>
  </si>
  <si>
    <t>U.S. Embassy Rangoon Consular Section</t>
  </si>
  <si>
    <t>https://www.facebook.com/consularrangoon</t>
  </si>
  <si>
    <t>Cambodia</t>
  </si>
  <si>
    <t>U.S. Ambassador to Cambodia</t>
  </si>
  <si>
    <t>https://x.com/USAmbCambodia</t>
  </si>
  <si>
    <t>U.S. Embassy Phnom Penh</t>
  </si>
  <si>
    <t>https://www.facebook.com/us.embassy.phnom.penh/</t>
  </si>
  <si>
    <t>https://www.flickr.com/photos/usembassyphnompenh/albums</t>
  </si>
  <si>
    <t>https://www.instagram.com/usembphnompenh</t>
  </si>
  <si>
    <t>https://x.com/USEmbPhnomPenh</t>
  </si>
  <si>
    <t>China</t>
  </si>
  <si>
    <t>U.S. Ambassador to China</t>
  </si>
  <si>
    <t>https://x.com/USAmbChina/</t>
  </si>
  <si>
    <t>U.S. Consulate in Guangzhou</t>
  </si>
  <si>
    <t>Weibo</t>
  </si>
  <si>
    <t>https://weibo.com/gzpas</t>
  </si>
  <si>
    <t>https://x.com/USCGGuangzhou</t>
  </si>
  <si>
    <t>U.S. Consulate in Shanghai</t>
  </si>
  <si>
    <t>https://weibo.com/u/3216945711</t>
  </si>
  <si>
    <t>U.S. Consul General in Shanghai</t>
  </si>
  <si>
    <t>https://x.com/USCGShanghai</t>
  </si>
  <si>
    <t>U.S. Consulate in Shenyang</t>
  </si>
  <si>
    <t>https://www.weibo.com/shenyangconsulate/</t>
  </si>
  <si>
    <t>U.S. Consulate in Wuhan</t>
  </si>
  <si>
    <t>https://weibo.com/usconsulatewuhan</t>
  </si>
  <si>
    <t>YouKu</t>
  </si>
  <si>
    <t>https://i.youku.com/i/UMjkxNjcxNDA4MA==</t>
  </si>
  <si>
    <t>U.S. Embassy Beijing</t>
  </si>
  <si>
    <t>https://flickr.com/photos/usembassybeijing/albums/</t>
  </si>
  <si>
    <t>https://x.com/USA_China_Talk</t>
  </si>
  <si>
    <t>https://weibo.com/usembassy</t>
  </si>
  <si>
    <t>https://www.youku.com/profile/index/?spm=a2h0c.8166622.PhoneSokuPgc_1.dportrait&amp;uid=UMTI2MjUzNTU2</t>
  </si>
  <si>
    <t>Federated States of Micronesia</t>
  </si>
  <si>
    <t>U.S. Embassy Kolonia</t>
  </si>
  <si>
    <t>https://www.facebook.com/usembassykolonia/</t>
  </si>
  <si>
    <t>https://www.flickr.com/photos/usembassykolonia/</t>
  </si>
  <si>
    <t>https://x.com/USEmbassyFSM</t>
  </si>
  <si>
    <t>Fiji</t>
  </si>
  <si>
    <t>U.S. Ambassador to Fiji</t>
  </si>
  <si>
    <t>https://x.com/USAmbSuva</t>
  </si>
  <si>
    <t>U.S. Embassy Suva</t>
  </si>
  <si>
    <t>https://www.facebook.com/usembassysuva/</t>
  </si>
  <si>
    <t>https://www.flickr.com/photos/167418767@N06/</t>
  </si>
  <si>
    <t>https://www.instagram.com/usembassysuva</t>
  </si>
  <si>
    <t>https://x.com/USEmbassySuva</t>
  </si>
  <si>
    <t>https://youtube.com/@usembassyfiji</t>
  </si>
  <si>
    <t>Hong Kong and Macau</t>
  </si>
  <si>
    <t>U.S. Consulate General Hong Kong and Macau</t>
  </si>
  <si>
    <t>https://www.facebook.com/USAinHKMacau/</t>
  </si>
  <si>
    <t>https://www.instagram.com/usainhkmacau</t>
  </si>
  <si>
    <t>https://x.com/USAinHKMacau</t>
  </si>
  <si>
    <t>https://www.youtube.com/@USConsulateHongKong/</t>
  </si>
  <si>
    <t>Indonesia</t>
  </si>
  <si>
    <t>U.S. Ambassador to Indonesia</t>
  </si>
  <si>
    <t>https://x.com/USAmbIndonesia</t>
  </si>
  <si>
    <t>U.S. Consulate General Medan</t>
  </si>
  <si>
    <t>https://www.facebook.com/KonsulatASMdn/</t>
  </si>
  <si>
    <t>https://www.instagram.com/konsulatasmdn</t>
  </si>
  <si>
    <t>U.S. Consulate General Surabaya</t>
  </si>
  <si>
    <t>https://www.facebook.com/uscongensby/</t>
  </si>
  <si>
    <t>https://www.instagram.com/uscongensby</t>
  </si>
  <si>
    <t>https://x.com/USConGenSby</t>
  </si>
  <si>
    <t>https://www.youtube.com/user/USConGenSurabaya</t>
  </si>
  <si>
    <t>https://www.flickr.com/people/usconsulategeneralsurabaya/</t>
  </si>
  <si>
    <t>U.S. Embassy Jakarta</t>
  </si>
  <si>
    <t>https://www.facebook.com/usembassyjkt/</t>
  </si>
  <si>
    <t>https://www.flickr.com/photos/usembassyjakarta/</t>
  </si>
  <si>
    <t>https://www.instagram.com/usembassyjkt</t>
  </si>
  <si>
    <t>https://www.linkedin.com/showcase/usembassyjkt/</t>
  </si>
  <si>
    <t>https://x.com/usembassyjkt</t>
  </si>
  <si>
    <t>youtube.com/user/usembassyjakarta</t>
  </si>
  <si>
    <t>U.S. Mission to ASEAN</t>
  </si>
  <si>
    <t>https://www.facebook.com/USMission2ASEAN/</t>
  </si>
  <si>
    <t>https://www.flickr.com/photos/usmission2asean/</t>
  </si>
  <si>
    <t>https://www.instagram.com/usmission2asean</t>
  </si>
  <si>
    <t>https://x.com/USMission2ASEAN</t>
  </si>
  <si>
    <t>youtube.com/user/USMission2ASEAN</t>
  </si>
  <si>
    <t>https://linkedin.com/company/usmission2asean</t>
  </si>
  <si>
    <t>Young Southeast Asian Leaders Initiative</t>
  </si>
  <si>
    <t>https://www.facebook.com/yseali/</t>
  </si>
  <si>
    <t>https://www.flickr.com/photos/yseali/</t>
  </si>
  <si>
    <t>https://www.instagram.com/yseali_official</t>
  </si>
  <si>
    <t>Tumblr</t>
  </si>
  <si>
    <t>https://youngsoutheastasianleaders.tumblr.com/</t>
  </si>
  <si>
    <t>https://x.com/yseali</t>
  </si>
  <si>
    <t>Japan</t>
  </si>
  <si>
    <t>American Citizen Services Tokyo</t>
  </si>
  <si>
    <t>facebook.com/ACSTokyo</t>
  </si>
  <si>
    <t>https://x.com/ACSTokyo</t>
  </si>
  <si>
    <t>U.S. Ambassador to Japan</t>
  </si>
  <si>
    <t>https://www.instagram.com/usambjapan/</t>
  </si>
  <si>
    <t>https://x.com/usambjapan</t>
  </si>
  <si>
    <t xml:space="preserve">https://www.threads.net/@usambjapan </t>
  </si>
  <si>
    <t>U.S. Consulate General Fukuoka</t>
  </si>
  <si>
    <t>https://www.facebook.com/USConsulateFukuoka/</t>
  </si>
  <si>
    <t>https://www.instagram.com/usconsfukuoka/</t>
  </si>
  <si>
    <t>https://x.com/USConsFukuoka</t>
  </si>
  <si>
    <t>U.S. Consulate General Nagoya</t>
  </si>
  <si>
    <t>https://www.facebook.com/USConsNagoya</t>
  </si>
  <si>
    <t>https://www.instagram.com/usconsnagoya/</t>
  </si>
  <si>
    <t>https://x.com/USConsNagoya</t>
  </si>
  <si>
    <t>U.S. Consulate General Naha</t>
  </si>
  <si>
    <t>https://www.facebook.com/U.S.ConsulateGeneralNaha/</t>
  </si>
  <si>
    <t>https://www.instagram.com/usconsulatenaha/</t>
  </si>
  <si>
    <t>https://x.com/USConsulateNaha</t>
  </si>
  <si>
    <t>U.S. Consulate General Naha American Citizen Services</t>
  </si>
  <si>
    <r>
      <rPr>
        <rFont val="Calibri"/>
        <color rgb="FF1155CC"/>
        <sz val="12.0"/>
        <u/>
      </rPr>
      <t>https://www.facebook.com/naha.usconsulate/</t>
    </r>
    <r>
      <rPr>
        <rFont val="Calibri"/>
        <color rgb="FF000000"/>
        <sz val="12.0"/>
        <u/>
      </rPr>
      <t xml:space="preserve"> </t>
    </r>
  </si>
  <si>
    <t>U.S. Consulate General Osaka-Kobe</t>
  </si>
  <si>
    <t>https://www.facebook.com/USConGenOsaka/</t>
  </si>
  <si>
    <t>https://www.instagram.com/usconsosakakobe/</t>
  </si>
  <si>
    <t>https://x.com/USConsOsakaKobe</t>
  </si>
  <si>
    <t>U.S. Consulate General Sapporo</t>
  </si>
  <si>
    <t>https://www.facebook.com/USConGenSapporo/</t>
  </si>
  <si>
    <t>https://x.com/USConsSapporo</t>
  </si>
  <si>
    <t>U.S. Embassy Tokyo</t>
  </si>
  <si>
    <t>https://www.facebook.com/usembassytokyo/</t>
  </si>
  <si>
    <t>https://www.flickr.com/photos/usembassytokyo/</t>
  </si>
  <si>
    <t>https://www.instagram.com/usembassytokyo/</t>
  </si>
  <si>
    <t>https://x.com/usembassytokyo</t>
  </si>
  <si>
    <t>https://www.youtube.com/user/usembassytokyo</t>
  </si>
  <si>
    <t>U.S. Embassy Tokyo Visa Branch</t>
  </si>
  <si>
    <t>https://x.com/USVisaTokyo</t>
  </si>
  <si>
    <t>Laos</t>
  </si>
  <si>
    <t>U.S. Embassy Vientiane</t>
  </si>
  <si>
    <t>https://www.facebook.com/usembassyvte/</t>
  </si>
  <si>
    <t>https://youtube.com/@USEmbassyVientiane</t>
  </si>
  <si>
    <t>Malaysia</t>
  </si>
  <si>
    <t>U.S. Embassy Kuala Lumpur</t>
  </si>
  <si>
    <t>https://www.facebook.com/usembassykl/</t>
  </si>
  <si>
    <t>https://www.flickr.com/photos/usembassykl/</t>
  </si>
  <si>
    <t>https://www.instagram.com/usembassykl</t>
  </si>
  <si>
    <t>https://www.linkedin.com/company/usembassykl/</t>
  </si>
  <si>
    <t>https://x.com/usembassykl</t>
  </si>
  <si>
    <t>U.S. Ambassador to Kuala Lumpur</t>
  </si>
  <si>
    <t>https://x.com/USAmbKL</t>
  </si>
  <si>
    <t>https://youtube.com/@usembassykl</t>
  </si>
  <si>
    <t>Marshall Islands</t>
  </si>
  <si>
    <t>U.S. Embassy Majuro</t>
  </si>
  <si>
    <t>https://www.facebook.com/usembassymajuro/</t>
  </si>
  <si>
    <t>https://www.instagram.com/usembassymajuro/</t>
  </si>
  <si>
    <t>Mongolia</t>
  </si>
  <si>
    <t>U.S. Ambassador to Mongolia</t>
  </si>
  <si>
    <t>https://x.com/USAmbMongolia</t>
  </si>
  <si>
    <t>U.S. Embassy Ulaanbaatar</t>
  </si>
  <si>
    <t>https://www.facebook.com/USEmbMongolia/</t>
  </si>
  <si>
    <t>https://www.instagram.com/usembmongolia</t>
  </si>
  <si>
    <t>https://x.com/usembmongolia</t>
  </si>
  <si>
    <t>https://youtube.com/@USAinMongolia</t>
  </si>
  <si>
    <t>New Zealand</t>
  </si>
  <si>
    <t>U.S. Ambassador to New Zealand</t>
  </si>
  <si>
    <t>https://x.com/USAmbNZ</t>
  </si>
  <si>
    <t>U.S. Embassy Wellington</t>
  </si>
  <si>
    <t>https://www.facebook.com/newzealand.usembassy/</t>
  </si>
  <si>
    <t>https://www.flickr.com/photos/us_embassy_newzealand/</t>
  </si>
  <si>
    <t>https://www.instagram.com/usembassynz</t>
  </si>
  <si>
    <t>https://x.com/usembassynz</t>
  </si>
  <si>
    <t>https://youtube.com/@usembassynewzealand</t>
  </si>
  <si>
    <t>Palau</t>
  </si>
  <si>
    <t>U.S. Embassy Koror</t>
  </si>
  <si>
    <t>https://www.facebook.com/usembassykoror/</t>
  </si>
  <si>
    <t>Papua New Guinea</t>
  </si>
  <si>
    <t>U.S. Embassy Port Moresby</t>
  </si>
  <si>
    <t>https://www.facebook.com/usembassyportmoresby/</t>
  </si>
  <si>
    <t>https://x.com/USEmbassyPOM</t>
  </si>
  <si>
    <t>Philippines</t>
  </si>
  <si>
    <t>U.S. Ambassador to the Philippines</t>
  </si>
  <si>
    <t>https://x.com/USAmbPH</t>
  </si>
  <si>
    <t>U.S. Embassy Manila</t>
  </si>
  <si>
    <t>https://www.facebook.com/USEmbassyPH/</t>
  </si>
  <si>
    <t>https://www.instagram.com/usembassyph</t>
  </si>
  <si>
    <t>https://www.linkedin.com/company/usembassyph/</t>
  </si>
  <si>
    <t>https://www.youtube.com/@USEmbassyPH/</t>
  </si>
  <si>
    <t>https://x.com/usembassyph</t>
  </si>
  <si>
    <t>Samoa</t>
  </si>
  <si>
    <t>U.S. Embassy Apia</t>
  </si>
  <si>
    <t>https://www.facebook.com/samoa.usembassy/</t>
  </si>
  <si>
    <t>https://instagram.com/usembassysamoa</t>
  </si>
  <si>
    <t>https://x.com/usembassysamoa</t>
  </si>
  <si>
    <t>Singapore</t>
  </si>
  <si>
    <t>U.S. Ambassador to Singapore</t>
  </si>
  <si>
    <t>https://www.instagram.com/usambsg/</t>
  </si>
  <si>
    <t>https://www.threads.net/@usambsg</t>
  </si>
  <si>
    <t>https://x.com/USAmbSG</t>
  </si>
  <si>
    <t>U.S. Embassy Singapore</t>
  </si>
  <si>
    <t>https://www.facebook.com/USEmbassySingapore/</t>
  </si>
  <si>
    <t>https://www.instagram.com/usembassysingapore</t>
  </si>
  <si>
    <t>https://x.com/USEmbassySG</t>
  </si>
  <si>
    <t>https://www.linkedin.com/company/usembassysingapore/</t>
  </si>
  <si>
    <t>youtube.com/user/singaporeusembassy</t>
  </si>
  <si>
    <t>Solomon Islands</t>
  </si>
  <si>
    <t>U.S. Embassy Honiara</t>
  </si>
  <si>
    <t>https://www.facebook.com/usembassyhoniara/</t>
  </si>
  <si>
    <t>https://x.com/USEmbHoniara</t>
  </si>
  <si>
    <t>https://www.flickr.com/photos/usembassyhoniara/</t>
  </si>
  <si>
    <t>South Korea</t>
  </si>
  <si>
    <t>U.S. Ambassador to the ROK</t>
  </si>
  <si>
    <t>https://x.com/USAmbROK</t>
  </si>
  <si>
    <t>U.S. Embassy Seoul</t>
  </si>
  <si>
    <t>https://www.facebook.com/usembassyseoul/</t>
  </si>
  <si>
    <t>https://www.flickr.com/photos/usembassyseoul</t>
  </si>
  <si>
    <t>https://www.instagram.com/usembassyseoul</t>
  </si>
  <si>
    <t>https://x.com/USEmbassySeoul</t>
  </si>
  <si>
    <t>youtube.com/user/USEmbassySeoul</t>
  </si>
  <si>
    <t>Taiwan</t>
  </si>
  <si>
    <t>American Institute in Taiwan</t>
  </si>
  <si>
    <t>https://www.facebook.com/AIT.Social.Media/</t>
  </si>
  <si>
    <t>https://www.flickr.com/photos/ait_taipei/</t>
  </si>
  <si>
    <t>https://www.instagram.com/ait_taipei/</t>
  </si>
  <si>
    <t>https://youtube.com/@AmericanInstituteTW</t>
  </si>
  <si>
    <t>American Institute in Taiwan - Kaohsiung</t>
  </si>
  <si>
    <t>https://www.facebook.com/ILoveAITK/#</t>
  </si>
  <si>
    <t>New URL</t>
  </si>
  <si>
    <t>https://www.instagram.com/ait_kaohsiung/</t>
  </si>
  <si>
    <t>Thailand</t>
  </si>
  <si>
    <t>American Citizen Services Bangkok</t>
  </si>
  <si>
    <t>https://www.facebook.com/acsbkk/</t>
  </si>
  <si>
    <t>https://www.whatsapp.com/channel/0029VakoUfF6LwHlZl2K7j0j</t>
  </si>
  <si>
    <t>U.S. Ambassador to Thailand</t>
  </si>
  <si>
    <t>https://x.com/usambthailand</t>
  </si>
  <si>
    <t>U.S. Consulate General Chiang Mai</t>
  </si>
  <si>
    <t>https://www.facebook.com/chiangmai.usconsulate/</t>
  </si>
  <si>
    <t>https://www.instagram.com/usconschiangmai</t>
  </si>
  <si>
    <t>https://x.com/USConsChiangMai</t>
  </si>
  <si>
    <t>youtube.com/user/USConsulateChiangmai</t>
  </si>
  <si>
    <t>U.S. Embassy Bangkok</t>
  </si>
  <si>
    <t>https://www.facebook.com/usembassybkk/</t>
  </si>
  <si>
    <t>https://www.flickr.com/photos/usembassybkk</t>
  </si>
  <si>
    <t>https://www.instagram.com/usembassybkk</t>
  </si>
  <si>
    <t>https://x.com/USEmbassyBKK</t>
  </si>
  <si>
    <t>youtube.com/user/USEmbassyBangkok</t>
  </si>
  <si>
    <t>Timor-Leste</t>
  </si>
  <si>
    <t>U.S. Embassy Dili</t>
  </si>
  <si>
    <t>https://www.facebook.com/USEmbassyDili/</t>
  </si>
  <si>
    <t>https://x.com/USEmbassyDili</t>
  </si>
  <si>
    <t>Tonga</t>
  </si>
  <si>
    <t>U.S. Embassy Nukuʻalofa</t>
  </si>
  <si>
    <t>https://www.facebook.com/usembassynukualofa</t>
  </si>
  <si>
    <t>Asia-Pacific Economic Cooperation (APEC)</t>
  </si>
  <si>
    <t>https://www.linkedin.com/company/usapec2023/</t>
  </si>
  <si>
    <t>Bureau of East Asian and Pacific Affairs</t>
  </si>
  <si>
    <t>https://x.com/USAsiaPacific</t>
  </si>
  <si>
    <t>Vanuatu</t>
  </si>
  <si>
    <t>U.S. Embassy Vanuatu</t>
  </si>
  <si>
    <t>https://www.facebook.com/usembassyvanuatu</t>
  </si>
  <si>
    <t>Vietnam</t>
  </si>
  <si>
    <t>U.S. Consulate General Ho Chi Minh City</t>
  </si>
  <si>
    <t>https://www.facebook.com/USConsulateHCMC/</t>
  </si>
  <si>
    <t>https://www.flickr.com/photos/usconsulatehcm/</t>
  </si>
  <si>
    <t>youtube.com/user/usconsulatehcm</t>
  </si>
  <si>
    <t>U.S. Embassy Hanoi</t>
  </si>
  <si>
    <t>https://www.facebook.com/usembassyhanoi/</t>
  </si>
  <si>
    <t>American Center Hanoi</t>
  </si>
  <si>
    <t>https://www.flickr.com/photos/achanoi</t>
  </si>
  <si>
    <t>https://www.instagram.com/usembassyvietnam/</t>
  </si>
  <si>
    <t>https://www.youtube.com/@usembassyvn</t>
  </si>
  <si>
    <t>Zalo</t>
  </si>
  <si>
    <t>https://zalo.me/usconsulate</t>
  </si>
  <si>
    <t>EUR</t>
  </si>
  <si>
    <t>Albania</t>
  </si>
  <si>
    <t>U.S. Embassy Tirana</t>
  </si>
  <si>
    <t>https://www.facebook.com/usembassytirana/</t>
  </si>
  <si>
    <t>https://www.instagram.com/usembassytirana</t>
  </si>
  <si>
    <t>https://x.com/USEmbassyTirana</t>
  </si>
  <si>
    <t>https://www.youtube.com/USEmbassyTirana</t>
  </si>
  <si>
    <t>U.S. Ambassador to Albania</t>
  </si>
  <si>
    <t>https://x.com/USAmbAlbania</t>
  </si>
  <si>
    <t>Armenia</t>
  </si>
  <si>
    <t>U.S. Embassy Yerevan</t>
  </si>
  <si>
    <t>https://www.facebook.com/usembarmenia/</t>
  </si>
  <si>
    <t>https://www.instagram.com/usembarmenia/</t>
  </si>
  <si>
    <t>https://x.com/usembarmenia</t>
  </si>
  <si>
    <t>https://www.youtube.com/@usembassyarmenia/</t>
  </si>
  <si>
    <t>https://www.linkedin.com/company/usembarmenia/</t>
  </si>
  <si>
    <t>Austria</t>
  </si>
  <si>
    <t>U.S. Ambassador to Austria</t>
  </si>
  <si>
    <t>https://x.com/USAmbAustria</t>
  </si>
  <si>
    <t>U.S. Embassy Vienna</t>
  </si>
  <si>
    <t>https://www.facebook.com/USEmbVienna/</t>
  </si>
  <si>
    <t>https://www.instagram.com/usembvienna</t>
  </si>
  <si>
    <t>https://www.linkedin.com/company/us-embassy-vienna/</t>
  </si>
  <si>
    <t>https://x.com/usembvienna</t>
  </si>
  <si>
    <t>https://www.youtube.com/user/USEmbassyVienna</t>
  </si>
  <si>
    <t>U.S. Mission to the OSCE</t>
  </si>
  <si>
    <t>https://www.facebook.com/USOSCE/</t>
  </si>
  <si>
    <t>U.S. Ambassador to the OSCE</t>
  </si>
  <si>
    <t>https://x.com/USAmbOSCE</t>
  </si>
  <si>
    <t>https://x.com/usosce</t>
  </si>
  <si>
    <t>VKontakte</t>
  </si>
  <si>
    <t>https://vk.com/usosce</t>
  </si>
  <si>
    <t>https://www.youtube.com/user/usosce</t>
  </si>
  <si>
    <t>Azerbaijan</t>
  </si>
  <si>
    <t>U.S. Embassy Baku</t>
  </si>
  <si>
    <t>https://www.facebook.com/baku.usembassy/</t>
  </si>
  <si>
    <t>https://www.instagram.com/usembaku/</t>
  </si>
  <si>
    <t>https://x.com/USEmbassyBaku</t>
  </si>
  <si>
    <t>youtube.com/user/usembassybaku</t>
  </si>
  <si>
    <t>Belarus</t>
  </si>
  <si>
    <t>U.S. Embassy Minsk</t>
  </si>
  <si>
    <t>https://www.facebook.com/usembassy.minsk/</t>
  </si>
  <si>
    <t>https://www.instagram.com/usembby/</t>
  </si>
  <si>
    <t>https://x.com/USEmbBy</t>
  </si>
  <si>
    <t>https://www.youtube.com/user/MinskPAS</t>
  </si>
  <si>
    <t>U.S. Ambassador to Belgium</t>
  </si>
  <si>
    <t>https://x.com/USAmbBelgium</t>
  </si>
  <si>
    <t>U.S. Ambassador to the European Union</t>
  </si>
  <si>
    <t>https://x.com/USAmbEU</t>
  </si>
  <si>
    <t>U.S. Embassy Brussels</t>
  </si>
  <si>
    <t>https://www.facebook.com/usembassybelgium/</t>
  </si>
  <si>
    <t>https://www.instagram.com/usembassybelgium/</t>
  </si>
  <si>
    <t>https://x.com/usembbrussels</t>
  </si>
  <si>
    <t>https://www.youtube.com/@usembassybrussels/</t>
  </si>
  <si>
    <t>https://www.linkedin.com/company/us-embassy-in-belgium/</t>
  </si>
  <si>
    <t>U.S. Mission to NATO</t>
  </si>
  <si>
    <t>https://www.facebook.com/USNATO/</t>
  </si>
  <si>
    <t>https://www.instagram.com/usmissionnato</t>
  </si>
  <si>
    <t>https://x.com/USNATO</t>
  </si>
  <si>
    <t>U.S. Ambassador to NATO</t>
  </si>
  <si>
    <t>https://x.com/usambnato</t>
  </si>
  <si>
    <t>https://www.youtube.com/@USNATO</t>
  </si>
  <si>
    <t>U.S. Mission to the EU</t>
  </si>
  <si>
    <t>https://www.facebook.com/useubrussels/</t>
  </si>
  <si>
    <t>https://www.instagram.com/useu</t>
  </si>
  <si>
    <t>https://x.com/US2EU</t>
  </si>
  <si>
    <t>https://www.linkedin.com/company/us-mission-to-the-european-union/</t>
  </si>
  <si>
    <t>youtube.com/user/TheUSEU</t>
  </si>
  <si>
    <t>Bermuda</t>
  </si>
  <si>
    <t>U.S. Consulate Hamilton</t>
  </si>
  <si>
    <t>facebook.com/USConsulateHamilton</t>
  </si>
  <si>
    <t>https://www.instagram.com/usconsulatehamilton/</t>
  </si>
  <si>
    <t>U.S. Consulate Bermuda</t>
  </si>
  <si>
    <t>https://x.com/USConsHamilton</t>
  </si>
  <si>
    <t>https://www.linkedin.com/company/u-s-consulate-general-hamilton-bermuda/</t>
  </si>
  <si>
    <t>Bosnia and Herzegovina</t>
  </si>
  <si>
    <t>U.S. Embassy Sarajevo</t>
  </si>
  <si>
    <t>https://www.facebook.com/usembassy.bih/</t>
  </si>
  <si>
    <t>https://www.instagram.com/usembassybih/</t>
  </si>
  <si>
    <t>https://www.linkedin.com/in/usambbih/</t>
  </si>
  <si>
    <t>https://x.com/USEmbassySJJ</t>
  </si>
  <si>
    <t>https://www.youtube.com/user/usembassysarajevo</t>
  </si>
  <si>
    <t>Bulgaria</t>
  </si>
  <si>
    <t>U.S. Embassy Sofia</t>
  </si>
  <si>
    <t>https://www.facebook.com/USEmbassySofia/</t>
  </si>
  <si>
    <t>https://www.instagram.com/usembsofia/</t>
  </si>
  <si>
    <t>https://x.com/USEmbassySofia</t>
  </si>
  <si>
    <t>youtube.com/user/SofiaPAO</t>
  </si>
  <si>
    <t>https://www.linkedin.com/company/us-embassy-in-bulgaria/</t>
  </si>
  <si>
    <t>Croatia</t>
  </si>
  <si>
    <t>U.S. Ambassador to Croatia</t>
  </si>
  <si>
    <t>https://x.com/USAmbCroatia</t>
  </si>
  <si>
    <t>U.S. Embassy Zagreb</t>
  </si>
  <si>
    <t>https://www.facebook.com/usembassycroatia/</t>
  </si>
  <si>
    <t>https://www.instagram.com/usembassycroatia/</t>
  </si>
  <si>
    <t>https://x.com/USEmbZagreb</t>
  </si>
  <si>
    <t>https://www.youtube.com/user/usembassyzagreb</t>
  </si>
  <si>
    <t>Cyprus</t>
  </si>
  <si>
    <t>U.S. Ambassador to Cyprus</t>
  </si>
  <si>
    <t>https://x.com/USAmbcy</t>
  </si>
  <si>
    <t>U.S. Embassy Nicosia</t>
  </si>
  <si>
    <t>https://www.facebook.com/USEmbassyCyprus/</t>
  </si>
  <si>
    <t>https://www.instagram.com/usembassycyprus/</t>
  </si>
  <si>
    <t>https://x.com/USEmbassyCyprus</t>
  </si>
  <si>
    <t>youtube.com/user/nicosiairc</t>
  </si>
  <si>
    <t>Czech Republic</t>
  </si>
  <si>
    <t>U.S. Embassy Prague</t>
  </si>
  <si>
    <t>https://www.facebook.com/USEmbassyPrague/</t>
  </si>
  <si>
    <t>https://www.instagram.com/usembassyprague</t>
  </si>
  <si>
    <t>https://x.com/USEmbassyPrague</t>
  </si>
  <si>
    <t>youtube.com/user/USEmbassyPrague</t>
  </si>
  <si>
    <t>Denmark</t>
  </si>
  <si>
    <t>U.S. Ambassador to Denmark</t>
  </si>
  <si>
    <t>https://www.instagram.com/usambdenmark/</t>
  </si>
  <si>
    <t>https://x.com/usambdenmark</t>
  </si>
  <si>
    <t>U.S. Embassy Copenhagen</t>
  </si>
  <si>
    <t>https://www.facebook.com/denmark.usembassy/</t>
  </si>
  <si>
    <t>https://www.instagram.com/usembdenmark</t>
  </si>
  <si>
    <t>https://www.linkedin.com/company/usembdenmark/</t>
  </si>
  <si>
    <t>https://x.com/usembdenmark</t>
  </si>
  <si>
    <t>https://www.youtube.com/USEmbCPH</t>
  </si>
  <si>
    <t>Estonia</t>
  </si>
  <si>
    <t>U.S. Ambassador to Estonia</t>
  </si>
  <si>
    <t>https://x.com/usambestonia</t>
  </si>
  <si>
    <t>U.S. Embassy Tallinn</t>
  </si>
  <si>
    <t>https://www.facebook.com/estonia.usembassy/</t>
  </si>
  <si>
    <t>https://www.instagram.com/usembassytallinn</t>
  </si>
  <si>
    <t>https://x.com/USEmbTallinn</t>
  </si>
  <si>
    <t>https://www.youtube.com/user/USEmbassyTallinn</t>
  </si>
  <si>
    <t>U.S. Embassy Tallinn (Russian Language)</t>
  </si>
  <si>
    <t>https://www.facebook.com/estonia.usembassy.rus/</t>
  </si>
  <si>
    <t>Finland</t>
  </si>
  <si>
    <t>U.S. Embassy Helsinki</t>
  </si>
  <si>
    <t>https://www.facebook.com/finland.usembassy/</t>
  </si>
  <si>
    <t>https://www.instagram.com/usembfinland/</t>
  </si>
  <si>
    <t>https://www.linkedin.com/company/usembfinland/</t>
  </si>
  <si>
    <t>https://x.com/usembfinland</t>
  </si>
  <si>
    <t>youtube.com/user/USEmbassyHelsinki</t>
  </si>
  <si>
    <t>https://www.flickr.com/photos/usembfinland/</t>
  </si>
  <si>
    <t>U.S. Ambassador to France</t>
  </si>
  <si>
    <t>https://x.com/USAmbFrance</t>
  </si>
  <si>
    <t>U.S. Consulate General Bordeaux</t>
  </si>
  <si>
    <t>https://www.facebook.com/usdos.bordeaux/</t>
  </si>
  <si>
    <t>U.S. Consulate General Lyon</t>
  </si>
  <si>
    <t>https://www.facebook.com/USConsulat.Lyon/</t>
  </si>
  <si>
    <t>https://www.instagram.com/usconsulatelyon/</t>
  </si>
  <si>
    <t>U.S. Consulate General Marseille</t>
  </si>
  <si>
    <t>https://www.facebook.com/usdos.marseille/</t>
  </si>
  <si>
    <t>https://www.instagram.com/usconsulatemarseille/</t>
  </si>
  <si>
    <t>https://x.com/usamarseille</t>
  </si>
  <si>
    <t>U.S. Consulate General Rennes</t>
  </si>
  <si>
    <t>https://www.facebook.com/usdos.rennes/</t>
  </si>
  <si>
    <t>https://www.instagram.com/usconsulaterennes/</t>
  </si>
  <si>
    <t>https://x.com/ConsulatRennes</t>
  </si>
  <si>
    <t>U.S. Consulate General Strasbourg</t>
  </si>
  <si>
    <t>facebook.com/strasbourg.usconsulate</t>
  </si>
  <si>
    <t>https://www.instagram.com/usa_strasbourg/</t>
  </si>
  <si>
    <t>https://x.com/USAStrasbourg</t>
  </si>
  <si>
    <t>U.S. Embassy Paris</t>
  </si>
  <si>
    <t>https://www.facebook.com/usdos.france/</t>
  </si>
  <si>
    <t>https://www.instagram.com/usembassyfrance</t>
  </si>
  <si>
    <t>https://x.com/USEmbassyFrance</t>
  </si>
  <si>
    <t>https://www.linkedin.com/company/u-s-embassy-france/</t>
  </si>
  <si>
    <t>https://www.youtube.com/@u.s.embassyfrance</t>
  </si>
  <si>
    <t>U.S. Mission to the OECD</t>
  </si>
  <si>
    <t>https://www.facebook.com/USMissionOECD</t>
  </si>
  <si>
    <t>https://x.com/USOECD</t>
  </si>
  <si>
    <t>Georgia</t>
  </si>
  <si>
    <t>U.S. Embassy Tbilisi</t>
  </si>
  <si>
    <t>https://www.facebook.com/usingeo/</t>
  </si>
  <si>
    <t>https://www.instagram.com/usingeo</t>
  </si>
  <si>
    <t>https://x.com/usingeo</t>
  </si>
  <si>
    <t>youtube.com/user/USEmbassyTbilisi</t>
  </si>
  <si>
    <t>Germany</t>
  </si>
  <si>
    <t>U.S. Ambassador to Germany</t>
  </si>
  <si>
    <t>https://www.instagram.com/usambgermany/</t>
  </si>
  <si>
    <t>https://x.com/USAmbGermany</t>
  </si>
  <si>
    <t>U.S. Consulate General Düsseldorf</t>
  </si>
  <si>
    <t>https://www.facebook.com/USConGenNRW/</t>
  </si>
  <si>
    <t>https://www.instagram.com/usconsduesseldorf/</t>
  </si>
  <si>
    <t>https://x.com/USConGenNRW</t>
  </si>
  <si>
    <t>https://www.linkedin.com/in/us-consulate-general-duesseldorf-99aba023b/</t>
  </si>
  <si>
    <t>U.S. Consulate General Frankfurt</t>
  </si>
  <si>
    <t>https://www.facebook.com/usconsulate.frankfurt/</t>
  </si>
  <si>
    <t>https://www.instagram.com/usconsfrankfurt/</t>
  </si>
  <si>
    <t>https://www.linkedin.com/company/usconsfrankfurt/</t>
  </si>
  <si>
    <t>https://x.com/usconsfrankfurt</t>
  </si>
  <si>
    <t>https://www.youtube.com/user/FrankfurtUSConsulate</t>
  </si>
  <si>
    <t>U.S. Consulate General Hamburg</t>
  </si>
  <si>
    <t>https://www.facebook.com/USConsulateHamburg/</t>
  </si>
  <si>
    <t>https://www.instagram.com/usconshamburg/</t>
  </si>
  <si>
    <t>https://x.com/usconshamburg</t>
  </si>
  <si>
    <t>https://www.linkedin.com/in/u-s-consulate-general-hamburg-456a69219/</t>
  </si>
  <si>
    <t>youtube.com/user/USConsGenHamburg</t>
  </si>
  <si>
    <t>U.S. Consulate General Leipzig</t>
  </si>
  <si>
    <t>https://www.facebook.com/USConGenLeipzig/</t>
  </si>
  <si>
    <t>https://www.instagram.com/usconsleipzig/</t>
  </si>
  <si>
    <t>https://x.com/USConsLeipzig</t>
  </si>
  <si>
    <t>U.S. Consulate General Munich</t>
  </si>
  <si>
    <t>https://www.facebook.com/usconsulatemunich/</t>
  </si>
  <si>
    <t>https://www.instagram.com/usconsmunich</t>
  </si>
  <si>
    <t>https://x.com/usconsmunich</t>
  </si>
  <si>
    <t>https://www.youtube.com/user/usconsmunich</t>
  </si>
  <si>
    <t>U.S. Embassy Berlin</t>
  </si>
  <si>
    <t>https://www.facebook.com/usbotschaftberlin/</t>
  </si>
  <si>
    <t>https://www.instagram.com/usbotschaft</t>
  </si>
  <si>
    <t>https://www.linkedin.com/company/u-s-mission-germany-human-resource-recruitment/</t>
  </si>
  <si>
    <t>https://x.com/usbotschaft</t>
  </si>
  <si>
    <t>https://www.youtube.com/usbotschaft</t>
  </si>
  <si>
    <t>Greece</t>
  </si>
  <si>
    <t>U.S. Ambassador to Greece</t>
  </si>
  <si>
    <t>https://x.com/USAmbassadorGR</t>
  </si>
  <si>
    <t>U.S. Embassy Athens</t>
  </si>
  <si>
    <t>https://www.facebook.com/USEmbassyAthens/</t>
  </si>
  <si>
    <t>https://www.instagram.com/usembassyathens/</t>
  </si>
  <si>
    <t>https://x.com/USEmbassyAthens</t>
  </si>
  <si>
    <t>https://www.youtube.com/MosaikoGR</t>
  </si>
  <si>
    <t>Consular Section - U.S. Embassy Athens</t>
  </si>
  <si>
    <t>facebook.com/ConsularSectionUSEmbassyAthens</t>
  </si>
  <si>
    <t>U.S. Consulate General Thessaloniki</t>
  </si>
  <si>
    <t>https://www.facebook.com/thessaloniki.usconsulate/</t>
  </si>
  <si>
    <t>https://x.com/USConsulateThes</t>
  </si>
  <si>
    <t>Greenland</t>
  </si>
  <si>
    <t>U.S. Consulate General Nuuk</t>
  </si>
  <si>
    <t>https://www.facebook.com/usconsulatenuuk/</t>
  </si>
  <si>
    <t>https://www.instagram.com/usconsulatenuuk/</t>
  </si>
  <si>
    <t>Hungary</t>
  </si>
  <si>
    <t>U.S. Ambassador to Hungary</t>
  </si>
  <si>
    <t>https://x.com/USAmbHungary</t>
  </si>
  <si>
    <t>U.S. Embassy Budapest</t>
  </si>
  <si>
    <t>facebook.com/hungary.usembassy</t>
  </si>
  <si>
    <t>https://www.instagram.com/usembhungary/</t>
  </si>
  <si>
    <t>https://x.com/usembbudapest</t>
  </si>
  <si>
    <t>https://www.youtube.com/user/USEmbassyBudapest</t>
  </si>
  <si>
    <t>Iceland</t>
  </si>
  <si>
    <t>U.S. Ambassador to Iceland</t>
  </si>
  <si>
    <t>https://x.com/USAmbIceland</t>
  </si>
  <si>
    <t>U.S. Embassy Reykjavik</t>
  </si>
  <si>
    <t>https://www.facebook.com/USEmbReykjavik/</t>
  </si>
  <si>
    <t>https://www.instagram.com/usembreykjavik/</t>
  </si>
  <si>
    <t>https://x.com/usembreykjavik</t>
  </si>
  <si>
    <t>https://www.youtube.com/user/USEmbReykjavik</t>
  </si>
  <si>
    <t>Ireland</t>
  </si>
  <si>
    <t>U.S. Ambassador to Dublin</t>
  </si>
  <si>
    <t>https://www.instagram.com/usembassydublin</t>
  </si>
  <si>
    <t>https://x.com/USAmbIreland</t>
  </si>
  <si>
    <t>U.S. Embassy Dublin</t>
  </si>
  <si>
    <t>facebook.com/usembassydublin</t>
  </si>
  <si>
    <t>https://x.com/USEmbassyDublin</t>
  </si>
  <si>
    <t>youtube.com/user/paodublin</t>
  </si>
  <si>
    <t>Italy</t>
  </si>
  <si>
    <t>U.S. Ambassador to Italy</t>
  </si>
  <si>
    <t>https://x.com/usambitaly</t>
  </si>
  <si>
    <t>U.S. Consulate General Florence</t>
  </si>
  <si>
    <t>facebook.com/USCGFlorence</t>
  </si>
  <si>
    <t>https://x.com/uscgflorence</t>
  </si>
  <si>
    <t>U.S. Consulate General Milan</t>
  </si>
  <si>
    <t>https://www.facebook.com/USConsMilan/</t>
  </si>
  <si>
    <t>https://www.instagram.com/usconsmilan</t>
  </si>
  <si>
    <t>https://www.linkedin.com/company/us-consulate-general-of-the-united-states-in-milan/</t>
  </si>
  <si>
    <t>https://x.com/USConsMilan</t>
  </si>
  <si>
    <t>youtube.com/user/USConsMilan</t>
  </si>
  <si>
    <t>U.S. Consulate General Naples</t>
  </si>
  <si>
    <t>https://www.facebook.com/ConsolatoUSANapoli/</t>
  </si>
  <si>
    <t>https://www.instagram.com/usanelsud</t>
  </si>
  <si>
    <t>https://x.com/USAnelSud</t>
  </si>
  <si>
    <t>https://www.youtube.com/user/ConsolatoUSANapoli</t>
  </si>
  <si>
    <t>U.S. Embassy Rome</t>
  </si>
  <si>
    <t>https://www.facebook.com/AmbasciataUSA/871</t>
  </si>
  <si>
    <t>https://www.instagram.com/ambasciatausa/</t>
  </si>
  <si>
    <t>https://x.com/AmbasciataUSA</t>
  </si>
  <si>
    <t>youtube.com/user/AmbasciataUSA</t>
  </si>
  <si>
    <t>Kosovo</t>
  </si>
  <si>
    <t>U.S. Ambassador to Kosovo</t>
  </si>
  <si>
    <t>https://x.com/USAmbKosovo</t>
  </si>
  <si>
    <t>U.S. Embassy Pristina</t>
  </si>
  <si>
    <t>https://www.facebook.com/kosovo.usembassy/</t>
  </si>
  <si>
    <t>https://www.instagram.com/usembassypristina/</t>
  </si>
  <si>
    <t>https://x.com/USEmbPristina</t>
  </si>
  <si>
    <t>Latvia</t>
  </si>
  <si>
    <t>U.S. Embassy Riga</t>
  </si>
  <si>
    <t>https://www.facebook.com/usembassyriga/</t>
  </si>
  <si>
    <t>https://www.instagram.com/usembassyriga</t>
  </si>
  <si>
    <t>https://x.com/USEmbassyRiga</t>
  </si>
  <si>
    <t>https://www.linkedin.com/company/u-s-embassy-riga/</t>
  </si>
  <si>
    <t>Telegram</t>
  </si>
  <si>
    <t>https://t.me/USEmbRiga</t>
  </si>
  <si>
    <t>Lithuania</t>
  </si>
  <si>
    <t>U.S. Ambassador to Lithuania</t>
  </si>
  <si>
    <t>https://www.instagram.com/usamblt/</t>
  </si>
  <si>
    <t>U.S. Embassy Vilnius</t>
  </si>
  <si>
    <t>https://www.facebook.com/vilnius.usembassy/</t>
  </si>
  <si>
    <t>https://www.instagram.com/usembassyvilnius</t>
  </si>
  <si>
    <t>https://www.linkedin.com/company/us-embassy-vilnius-lithuania/</t>
  </si>
  <si>
    <t>https://x.com/USEmbVilnius</t>
  </si>
  <si>
    <t>https://youtube.com/@USEmbassyLithuania</t>
  </si>
  <si>
    <t>Luxembourg</t>
  </si>
  <si>
    <t>U.S. Embassy Luxembourg</t>
  </si>
  <si>
    <t>facebook.com/usdos.Luxembourg</t>
  </si>
  <si>
    <t>https://www.instagram.com/us.embassy.luxembourg</t>
  </si>
  <si>
    <t>https://www.linkedin.com/company/u-s-embassy-luxembourg/</t>
  </si>
  <si>
    <t>https://x.com/USEmbLuxembourg</t>
  </si>
  <si>
    <t>https://www.youtube.com/@usembassyluxembourg505/</t>
  </si>
  <si>
    <t>Malta</t>
  </si>
  <si>
    <t>U.S. Ambassador to the Republic of Malta</t>
  </si>
  <si>
    <t>https://x.com/USAmbMalta</t>
  </si>
  <si>
    <t>U.S. Embassy Valletta</t>
  </si>
  <si>
    <t>https://www.facebook.com/usembmalta/</t>
  </si>
  <si>
    <t>https://x.com/usembmalta</t>
  </si>
  <si>
    <t>https://youtube.com/@usembmalta</t>
  </si>
  <si>
    <t>Moldova</t>
  </si>
  <si>
    <t>U.S. Embassy Chisinau</t>
  </si>
  <si>
    <t>https://www.facebook.com/U.S.EmbassyMoldova/</t>
  </si>
  <si>
    <t>https://www.instagram.com/usembassymoldova</t>
  </si>
  <si>
    <t>https://x.com/USembMoldova</t>
  </si>
  <si>
    <t>youtube.com/user/USembassyMoldova</t>
  </si>
  <si>
    <t>Montenegro</t>
  </si>
  <si>
    <t>U.S. Ambassador to Montenegro</t>
  </si>
  <si>
    <t>https://www.instagram.com/us_ambassador_mne/</t>
  </si>
  <si>
    <t>https://x.com/USAmbMNE</t>
  </si>
  <si>
    <t>U.S. Embassy Podgorica</t>
  </si>
  <si>
    <t>https://www.facebook.com/montenegro.usembassy/</t>
  </si>
  <si>
    <t>https://www.instagram.com/usa_in_mne/</t>
  </si>
  <si>
    <t>https://x.com/USEmbassyMNE</t>
  </si>
  <si>
    <t>https://youtube.com/@USEmbassyPodgorica</t>
  </si>
  <si>
    <t>Netherlands</t>
  </si>
  <si>
    <t>U.S. Ambassador to the Netherlands</t>
  </si>
  <si>
    <t>https://x.com/usambnl</t>
  </si>
  <si>
    <t>U.S. Consulate General Amsterdam</t>
  </si>
  <si>
    <t>https://www.facebook.com/USConGenAmsterdam/</t>
  </si>
  <si>
    <t>https://www.instagram.com/uscongenams</t>
  </si>
  <si>
    <t>https://x.com/ConGenAMS</t>
  </si>
  <si>
    <t>https://www.youtube.com/channel/UC9Ip5mWcNskswATEaErx7rw</t>
  </si>
  <si>
    <t>U.S. Embassy The Hague</t>
  </si>
  <si>
    <t>https://www.facebook.com/USEmbassyNL/</t>
  </si>
  <si>
    <t>https://www.instagram.com/u.s.embassythehague</t>
  </si>
  <si>
    <t>https://x.com/usembthehague</t>
  </si>
  <si>
    <t>https://youtube.com/@usembthehague</t>
  </si>
  <si>
    <t>https://www.linkedin.com/showcase/u-s-embassy-the-hague-the-netherlands/</t>
  </si>
  <si>
    <t>North Macedonia</t>
  </si>
  <si>
    <t>U.S. Ambassador to North Macedonia</t>
  </si>
  <si>
    <t>https://x.com/USAmbNMacedonia</t>
  </si>
  <si>
    <t>U.S. Embassy Skopje</t>
  </si>
  <si>
    <t>https://www.facebook.com/USEmbassySkopje/</t>
  </si>
  <si>
    <t>https://www.instagram.com/usembassyskopje</t>
  </si>
  <si>
    <t>https://x.com/USEmbassySkopje</t>
  </si>
  <si>
    <t>https://youtube.com/@USEmbassyinNorthMacedonia</t>
  </si>
  <si>
    <t>Norway</t>
  </si>
  <si>
    <t>U.S. Embassy Oslo</t>
  </si>
  <si>
    <t>https://www.facebook.com/usembassyoslo/</t>
  </si>
  <si>
    <t>https://www.instagram.com/usembassyoslo</t>
  </si>
  <si>
    <t>https://x.com/usembassyoslo</t>
  </si>
  <si>
    <t>https://youtube.com/@usembassynorway</t>
  </si>
  <si>
    <t>https://www.linkedin.com/company/us-embassy-oslo/</t>
  </si>
  <si>
    <t>Poland</t>
  </si>
  <si>
    <t>U.S. Ambassador to Poland</t>
  </si>
  <si>
    <t>https://www.instagram.com/usambassadortopoland/</t>
  </si>
  <si>
    <t>https://x.com/USAmbPoland</t>
  </si>
  <si>
    <t>U.S. Consulate General Krakow</t>
  </si>
  <si>
    <t>https://www.facebook.com/krakow.usconsulate/</t>
  </si>
  <si>
    <t>https://www.instagram.com/usakrakow</t>
  </si>
  <si>
    <t>https://x.com/USConsKrakow</t>
  </si>
  <si>
    <t>youtube.com/user/KrakowAIRC</t>
  </si>
  <si>
    <t>U.S. Embassy Warsaw</t>
  </si>
  <si>
    <t>https://www.facebook.com/USEmbassyWarsaw/</t>
  </si>
  <si>
    <t>https://www.instagram.com/usembassywarsaw/</t>
  </si>
  <si>
    <t>https://x.com/USEmbassyWarsaw</t>
  </si>
  <si>
    <t>https://www.linkedin.com/company/u-s-embassy-warsaw/</t>
  </si>
  <si>
    <t>https://youtube.com/@USEmbassyWarsaw</t>
  </si>
  <si>
    <t>Portugal</t>
  </si>
  <si>
    <t>U.S. Ambassador to Portugal</t>
  </si>
  <si>
    <t>https://www.instagram.com/USAmbPortugal/</t>
  </si>
  <si>
    <t>https://x.com/USAmbPortugal</t>
  </si>
  <si>
    <t>U.S. Consulate Ponta Delgada</t>
  </si>
  <si>
    <t>https://www.instagram.com/usconsulazores/</t>
  </si>
  <si>
    <t>U.S. Embassy Lisbon</t>
  </si>
  <si>
    <t>https://www.facebook.com/usdos.portugal/</t>
  </si>
  <si>
    <t>https://www.instagram.com/USembPortugal/</t>
  </si>
  <si>
    <t>https://www.linkedin.com/company/usembassylisbon/</t>
  </si>
  <si>
    <t>https://x.com/USEmbPortugal</t>
  </si>
  <si>
    <t>https://youtube.com/@usembassyportugal</t>
  </si>
  <si>
    <t>Romania</t>
  </si>
  <si>
    <t>U.S. Ambassador to Romania</t>
  </si>
  <si>
    <t>https://x.com/usambro</t>
  </si>
  <si>
    <t>U.S. Embassy Bucharest</t>
  </si>
  <si>
    <t>https://www.facebook.com/bucharest.usembassy/</t>
  </si>
  <si>
    <t>https://www.instagram.com/usembassybucharest</t>
  </si>
  <si>
    <t>https://www.linkedin.com/company/u.s.-embassy-bucharest-romania/</t>
  </si>
  <si>
    <t>https://x.com/AmbasadaSUA</t>
  </si>
  <si>
    <t>https://youtube.com/@embromania</t>
  </si>
  <si>
    <t>Russia</t>
  </si>
  <si>
    <t>U.S. Embassy Moscow</t>
  </si>
  <si>
    <t>https://www.facebook.com/russia.usembassy/</t>
  </si>
  <si>
    <t>https://www.instagram.com/usaporusski/</t>
  </si>
  <si>
    <t>https://www.instagram.com/usembru</t>
  </si>
  <si>
    <t>https://t.me/USEmbRussia</t>
  </si>
  <si>
    <t>https://t.me/USApoRusski</t>
  </si>
  <si>
    <t>https://x.com/USEmbRu</t>
  </si>
  <si>
    <t>https://vk.com/usembru</t>
  </si>
  <si>
    <t>youtube.com/user/usembassyru</t>
  </si>
  <si>
    <t>Serbia</t>
  </si>
  <si>
    <t>U.S. Ambassador to Serbia</t>
  </si>
  <si>
    <t>https://x.com/usambserbia</t>
  </si>
  <si>
    <t>U.S. Embassy Belgrade</t>
  </si>
  <si>
    <t>https://www.facebook.com/USEmbassySerbia/</t>
  </si>
  <si>
    <t>https://www.instagram.com/usembassyserbia</t>
  </si>
  <si>
    <t>https://www.linkedin.com/showcase/u-s-embassy-belgrade-serbia/</t>
  </si>
  <si>
    <t>https://x.com/USEmbassySerbia</t>
  </si>
  <si>
    <t>youtube.com/user/usembassybelgrade</t>
  </si>
  <si>
    <t>Slovakia</t>
  </si>
  <si>
    <t>U.S. Embassy Bratislava</t>
  </si>
  <si>
    <t>https://www.facebook.com/USEmbassySlovakia/</t>
  </si>
  <si>
    <t>https://www.instagram.com/usembassyslovakia/</t>
  </si>
  <si>
    <t>https://x.com/USEmbassySK</t>
  </si>
  <si>
    <t>https://youtube.com/@USEMBBratislava</t>
  </si>
  <si>
    <t>U.S. Embassy Slovakia</t>
  </si>
  <si>
    <t>https://www.flickr.com/photos/usembassyslovakia/</t>
  </si>
  <si>
    <t>Slovenia</t>
  </si>
  <si>
    <t>U.S. Ambassador to Slovenia</t>
  </si>
  <si>
    <t>https://x.com/USAmbSlovenia</t>
  </si>
  <si>
    <t>https://www.instagram.com/usambslovenia/</t>
  </si>
  <si>
    <t>U.S. Embassy Ljubljana</t>
  </si>
  <si>
    <t>https://www.facebook.com/slovenia.usembassy</t>
  </si>
  <si>
    <t>https://www.instagram.com/usembassyslo</t>
  </si>
  <si>
    <t>https://x.com/USEmbassySLO</t>
  </si>
  <si>
    <t>https://youtube.com/@USEmbassyLjubljana</t>
  </si>
  <si>
    <t>Spain</t>
  </si>
  <si>
    <t>U.S. Consulate General Barcelona</t>
  </si>
  <si>
    <t>https://www.facebook.com/USConsulateBCN/</t>
  </si>
  <si>
    <t>https://www.instagram.com/usconsulatebcn/</t>
  </si>
  <si>
    <t>https://www.linkedin.com/company/usconsulatebcn/</t>
  </si>
  <si>
    <t>https://x.com/USConsulateBCN</t>
  </si>
  <si>
    <t>https://www.youtube.com/@USConsulateBCN/videos</t>
  </si>
  <si>
    <t>U.S. Embassy Madrid</t>
  </si>
  <si>
    <t>https://www.facebook.com/madrid.usembassy/</t>
  </si>
  <si>
    <t>https://www.instagram.com/usembassymadrid</t>
  </si>
  <si>
    <t>https://www.linkedin.com/company/usembassymadrid/</t>
  </si>
  <si>
    <t>https://x.com/USembassyMadrid</t>
  </si>
  <si>
    <t>https://youtube.com/@USembassyMadrid</t>
  </si>
  <si>
    <t>Sweden</t>
  </si>
  <si>
    <t>U.S. Ambassador to Sweden</t>
  </si>
  <si>
    <t>https://www.instagram.com/usambsweden/</t>
  </si>
  <si>
    <t>https://x.com/USAmbSweden</t>
  </si>
  <si>
    <t>U.S. Embassy Stockholm</t>
  </si>
  <si>
    <t>https://www.facebook.com/stockholm.usembassy/</t>
  </si>
  <si>
    <t>https://www.instagram.com/usembsweden</t>
  </si>
  <si>
    <t>https://x.com/usembsweden</t>
  </si>
  <si>
    <t>USEmbassy Sweden</t>
  </si>
  <si>
    <t>https://www.youtube.com/@USEmbassySweden/</t>
  </si>
  <si>
    <t>https://www.flickr.com/photos/usembsweden/</t>
  </si>
  <si>
    <t>Switzerland</t>
  </si>
  <si>
    <t>U.S. Ambassador to Switzerland</t>
  </si>
  <si>
    <t>https://www.instagram.com/usambbern/</t>
  </si>
  <si>
    <t>U.S. Embassy Bern</t>
  </si>
  <si>
    <t>https://www.facebook.com/USBotschaftBern/</t>
  </si>
  <si>
    <t>https://www.instagram.com/usembassybern</t>
  </si>
  <si>
    <t>https://x.com/USEmbassyBern</t>
  </si>
  <si>
    <t>https://youtube.com/@USEmbassyBern</t>
  </si>
  <si>
    <t>U.S. Embassy Bern, Switzerland</t>
  </si>
  <si>
    <t>https://www.flickr.com/photos/usembassybern/</t>
  </si>
  <si>
    <t>Türkiye</t>
  </si>
  <si>
    <t>U.S. Consulate General Adana</t>
  </si>
  <si>
    <t>https://www.facebook.com/usconsadana/</t>
  </si>
  <si>
    <r>
      <rPr>
        <rFont val="Calibri"/>
        <color rgb="FF1155CC"/>
        <sz val="12.0"/>
        <u/>
      </rPr>
      <t>https://www.instagram.com/usconsadana</t>
    </r>
    <r>
      <rPr>
        <rFont val="Calibri"/>
        <color rgb="FF000000"/>
        <sz val="12.0"/>
      </rPr>
      <t xml:space="preserve"> </t>
    </r>
  </si>
  <si>
    <t>U.S. Consulate General Istanbul</t>
  </si>
  <si>
    <t>https://www.facebook.com/usconsistanbul/</t>
  </si>
  <si>
    <t>https://www.instagram.com/usconsistanbul/</t>
  </si>
  <si>
    <t>https://x.com/ABDIstanbul</t>
  </si>
  <si>
    <t>youtube.com/user/USConsulateIstanbul</t>
  </si>
  <si>
    <t>U.S. Embassy Ankara</t>
  </si>
  <si>
    <t>https://www.facebook.com/usembturkiye</t>
  </si>
  <si>
    <t>https://www.instagram.com/usembturkiye/</t>
  </si>
  <si>
    <t>https://x.com/USEmbassyTurkey</t>
  </si>
  <si>
    <t>https://www.youtube.com/USEmbassyTurkey</t>
  </si>
  <si>
    <t>Ukraine</t>
  </si>
  <si>
    <t>U.S. Ambassador to Ukraine</t>
  </si>
  <si>
    <t>https://www.instagram.com/usambkyiv/</t>
  </si>
  <si>
    <t>https://x.com/USAmbKyiv</t>
  </si>
  <si>
    <t>U.S. Embassy Kyiv</t>
  </si>
  <si>
    <t>https://www.facebook.com/usdos.ukraine/</t>
  </si>
  <si>
    <t>https://www.instagram.com/usembkyiv</t>
  </si>
  <si>
    <t>https://x.com/USEmbassyKyiv</t>
  </si>
  <si>
    <t>https://youtube.com/@USEmbassyKyiv</t>
  </si>
  <si>
    <t>U.S. Ambassador to the United Kingdom</t>
  </si>
  <si>
    <t>https://x.com/usambuk</t>
  </si>
  <si>
    <t>https://www.instagram.com/us_amb_uk/</t>
  </si>
  <si>
    <t>U.S. Consulate General Belfast</t>
  </si>
  <si>
    <t>https://www.facebook.com/US-Consulate-Belfast-189796969657</t>
  </si>
  <si>
    <t>https://x.com/USAinNI</t>
  </si>
  <si>
    <t>U.S. Consulate General Edinburgh</t>
  </si>
  <si>
    <t>https://x.com/USAinScotland</t>
  </si>
  <si>
    <t>U.S. Embassy London</t>
  </si>
  <si>
    <t>https://www.facebook.com/uk.usembassy/</t>
  </si>
  <si>
    <t>https://www.instagram.com/usa_in_uk</t>
  </si>
  <si>
    <t>https://www.linkedin.com/company/us-embassy-london/</t>
  </si>
  <si>
    <t>https://x.com/USAinUK</t>
  </si>
  <si>
    <t>https://x.com/USAinUKpress</t>
  </si>
  <si>
    <t>youtube.com/user/USEmbassyLondon</t>
  </si>
  <si>
    <t>U.S. Embassy London (Consular)</t>
  </si>
  <si>
    <t>https://x.com/USAinUKConsular</t>
  </si>
  <si>
    <t>Bureau of European and Eurasian Affairs</t>
  </si>
  <si>
    <t>https://x.com/StateEUR</t>
  </si>
  <si>
    <t>Special Envoy for Holocaust Issues</t>
  </si>
  <si>
    <t>https://x.com/StateSEHI</t>
  </si>
  <si>
    <t>Special Envoy to Northern Ireland for Economic Affair</t>
  </si>
  <si>
    <t>https://x.com/USEnvoyNI</t>
  </si>
  <si>
    <t>Vatican City</t>
  </si>
  <si>
    <t>U.S. Embassy Holy See</t>
  </si>
  <si>
    <t>https://www.facebook.com/holysee.usembassy/</t>
  </si>
  <si>
    <t>https://www.instagram.com/usinholysee/</t>
  </si>
  <si>
    <t>https://x.com/USinHolySee</t>
  </si>
  <si>
    <t>youtube.com/user/usembassyvatican</t>
  </si>
  <si>
    <t>IO</t>
  </si>
  <si>
    <t>U.S. Mission to the International Organizations in Vienna</t>
  </si>
  <si>
    <t>https://www.facebook.com/usunvie</t>
  </si>
  <si>
    <t>https://www.instagram.com/usunvie</t>
  </si>
  <si>
    <t>https://www.linkedin.com/company/usunvie</t>
  </si>
  <si>
    <t>https://x.com/usunvie</t>
  </si>
  <si>
    <t>https://www.youtube.com/@usunvie</t>
  </si>
  <si>
    <t>https://www.facebook.com/USAU09/</t>
  </si>
  <si>
    <t>U.S. Mission to UNESCO</t>
  </si>
  <si>
    <t>https://x.com/USUNESCO</t>
  </si>
  <si>
    <t>U.S. Ambassador to UN Agencies</t>
  </si>
  <si>
    <t>https://x.com/USUNRomeAmb</t>
  </si>
  <si>
    <t>U.S. Mission to the UN Agencies in Rome</t>
  </si>
  <si>
    <t>https://www.facebook.com/usunrome/</t>
  </si>
  <si>
    <t>https://www.instagram.com/usunrome</t>
  </si>
  <si>
    <t>https://www.linkedin.com/company/us-mission-to-the-un-agencies-in-rome/</t>
  </si>
  <si>
    <t>https://x.com/USUNRome</t>
  </si>
  <si>
    <t>https://www.youtube.com/@USUNRome</t>
  </si>
  <si>
    <t>U.S. Mission Geneva</t>
  </si>
  <si>
    <t>https://www.facebook.com/usmissiongeneva</t>
  </si>
  <si>
    <t>https://www.flickr.com/photos/us-mission/</t>
  </si>
  <si>
    <t>https://x.com/usmissiongeneva</t>
  </si>
  <si>
    <t>https://www.instagram.com/usmissiongeneva/</t>
  </si>
  <si>
    <t>https://www.linkedin.com/company/usmissiongeneva/</t>
  </si>
  <si>
    <t>https://www.youtube.com/@usmissiongeneva</t>
  </si>
  <si>
    <t>U.S. Permanent Representative to the Conference on Disarmament</t>
  </si>
  <si>
    <t>https://x.com/USAmbCD</t>
  </si>
  <si>
    <t>U.S. Permanent Representative to the UN Human Rights Council</t>
  </si>
  <si>
    <t>https://x.com/USAmbHRC</t>
  </si>
  <si>
    <t>https://x.com/usambgva</t>
  </si>
  <si>
    <t>Bureau of International Organization Affairs</t>
  </si>
  <si>
    <t>https://x.com/State_IO</t>
  </si>
  <si>
    <t>https://www.youtube.com/@StateIOVideo</t>
  </si>
  <si>
    <t>U.S. Department of State - Bureau of International Organization Affairs</t>
  </si>
  <si>
    <t xml:space="preserve">https://www.linkedin.com/company/bureau-of-international-organization-affairs </t>
  </si>
  <si>
    <t>U.S. Ambassador to the Conference on Disarmament and Special Representative for BWC Issues</t>
  </si>
  <si>
    <t>U.S. Ambassador to the UN for Management and Reform</t>
  </si>
  <si>
    <t>https://x.com/AmbUNReform</t>
  </si>
  <si>
    <t>U.S. Ambassador to the United Nations</t>
  </si>
  <si>
    <t>https://x.com/usambun</t>
  </si>
  <si>
    <t>U.S. Mission to the UN</t>
  </si>
  <si>
    <t>https://www.facebook.com/USattheUN</t>
  </si>
  <si>
    <t>https://x.com/USUNSpox</t>
  </si>
  <si>
    <t>https://www.instagram.com/usun</t>
  </si>
  <si>
    <t>https://x.com/USUN</t>
  </si>
  <si>
    <t>U.S. Mission to the International Civil Aviation Organization</t>
  </si>
  <si>
    <t>https://x.com/USAmbICAO</t>
  </si>
  <si>
    <t>NEA</t>
  </si>
  <si>
    <t>Algeria</t>
  </si>
  <si>
    <t>U.S. Ambassador to Algeria</t>
  </si>
  <si>
    <t>https://x.com/USAmbtoAlgeria</t>
  </si>
  <si>
    <t>U.S. Embassy Algiers</t>
  </si>
  <si>
    <t>https://www.facebook.com/USEmbassyAlgiers/</t>
  </si>
  <si>
    <t>https://www.instagram.com/usembassyalgiers</t>
  </si>
  <si>
    <t>https://x.com/USEmbAlgiers</t>
  </si>
  <si>
    <t>https://youtube.com/user/USEmbassyAlgiers</t>
  </si>
  <si>
    <t>Bahrain</t>
  </si>
  <si>
    <t>U.S. Embassy Manama</t>
  </si>
  <si>
    <t>https://www.facebook.com/AmericanEmbassyManama/</t>
  </si>
  <si>
    <t>https://www.instagram.com/usembassybahrain</t>
  </si>
  <si>
    <t>https://x.com/USEmbassyManama</t>
  </si>
  <si>
    <t>https://youtube.com/user/USEmbassyManama</t>
  </si>
  <si>
    <t>Egypt</t>
  </si>
  <si>
    <t>U.S. Embassy Cairo</t>
  </si>
  <si>
    <t>https://www.facebook.com/USEmbassyCairo/</t>
  </si>
  <si>
    <t>https://www.flickr.com/photos/usembassycairo/</t>
  </si>
  <si>
    <t>https://www.instagram.com/usembassycairo</t>
  </si>
  <si>
    <t>https://x.com/USEmbassyCairo</t>
  </si>
  <si>
    <t>https://www.youtube.com/@USEmbassyCairoEG</t>
  </si>
  <si>
    <t>Iraq</t>
  </si>
  <si>
    <t>U.S. Ambassador to Iraq</t>
  </si>
  <si>
    <t>https://x.com/USAmbIraq</t>
  </si>
  <si>
    <t>U.S. Consulate General Erbil</t>
  </si>
  <si>
    <t>https://www.instagram.com/uscgerbil/</t>
  </si>
  <si>
    <t>https://www.facebook.com/USCGErbil/</t>
  </si>
  <si>
    <t>https://x.com/USCGERBIL</t>
  </si>
  <si>
    <t>https://www.youtube.com/@USCGERBIL</t>
  </si>
  <si>
    <t>U.S. Embassy Baghdad</t>
  </si>
  <si>
    <t>https://www.facebook.com/USEmbassyBaghdad/</t>
  </si>
  <si>
    <t>https://www.instagram.com/usembassybaghdad/</t>
  </si>
  <si>
    <t>https://x.com/USEmbBaghdad</t>
  </si>
  <si>
    <t>youtube.com/user/usembassybaghdad</t>
  </si>
  <si>
    <t>Israel</t>
  </si>
  <si>
    <t>U.S. Ambassador to Israel</t>
  </si>
  <si>
    <t>https://x.com/USAmbIsrael</t>
  </si>
  <si>
    <t>U.S. Embassy Jerusalem</t>
  </si>
  <si>
    <t>https://www.facebook.com/USEmbassyJlm/</t>
  </si>
  <si>
    <t>https://www.flickr.com/photos/usembassyta</t>
  </si>
  <si>
    <t>https://www.instagram.com/usembassyjlm/</t>
  </si>
  <si>
    <t>https://www.linkedin.com/company/usembassyjlm/</t>
  </si>
  <si>
    <t>https://t.me/usembassyjerusalem</t>
  </si>
  <si>
    <t>https://x.com/usembassyjlm</t>
  </si>
  <si>
    <t>https://youtube.com/user/USEmbassyTelAviv</t>
  </si>
  <si>
    <t>U.S. Office of Palestinian Affairs</t>
  </si>
  <si>
    <t>https://www.facebook.com/USPalestinianAffairs/</t>
  </si>
  <si>
    <t>https://www.instagram.com/uspalestinianaffairs/</t>
  </si>
  <si>
    <t>https://x.com/USPalAffairs</t>
  </si>
  <si>
    <t>https://youtube.com/user/UsConGenJerusalem</t>
  </si>
  <si>
    <t>Jordan</t>
  </si>
  <si>
    <t>U.S. Embassy Amman</t>
  </si>
  <si>
    <t>https://www.facebook.com/jordan.usembassy/</t>
  </si>
  <si>
    <t>https://www.instagram.com/usembassyjordan</t>
  </si>
  <si>
    <t>https://www.linkedin.com/company/u-s-embassy-amman-jordan/</t>
  </si>
  <si>
    <t>https://x.com/USEmbassyJordan</t>
  </si>
  <si>
    <t>https://youtube.com/user/usembassyamman</t>
  </si>
  <si>
    <t>Kuwait</t>
  </si>
  <si>
    <t>U.S. Ambassador to Kuwait</t>
  </si>
  <si>
    <t>https://x.com/USAmbKuwait</t>
  </si>
  <si>
    <t>U.S. Embassy Kuwait City</t>
  </si>
  <si>
    <t>https://www.facebook.com/USEmbassyQ8/</t>
  </si>
  <si>
    <t>https://www.flickr.com/photos/americanembassykuwait</t>
  </si>
  <si>
    <t>https://www.instagram.com/usembassyq8</t>
  </si>
  <si>
    <t>https://x.com/USEmbassyQ8</t>
  </si>
  <si>
    <t>https://youtube.com/user/usembassyq8</t>
  </si>
  <si>
    <t>https://www.threads.net/@usembassyq8</t>
  </si>
  <si>
    <t>Lebanon</t>
  </si>
  <si>
    <t>U.S. Embassy Beirut</t>
  </si>
  <si>
    <t>https://www.facebook.com/USEmbassyBeirut/</t>
  </si>
  <si>
    <t>https://www.instagram.com/usembassybeirut</t>
  </si>
  <si>
    <t>https://x.com/usembassybeirut</t>
  </si>
  <si>
    <t>https://www.youtube.com/@usinbeirut</t>
  </si>
  <si>
    <t>https://whatsapp.com/channel/0029VaUiCFg6hENiACjfs51q</t>
  </si>
  <si>
    <t>Libya</t>
  </si>
  <si>
    <t>U.S. Embassy Tripoli</t>
  </si>
  <si>
    <t>https://www.facebook.com/USEmbassyLibya/</t>
  </si>
  <si>
    <t>https://www.instagram.com/usembassylibya/</t>
  </si>
  <si>
    <t>https://x.com/USEmbassyLibya</t>
  </si>
  <si>
    <t>https://youtube.com/user/USEmbassyTripoli</t>
  </si>
  <si>
    <t>Morocco</t>
  </si>
  <si>
    <t>Dar America Casablanca</t>
  </si>
  <si>
    <t>https://www.facebook.com/DarAmericaCasablanca/</t>
  </si>
  <si>
    <t>https://www.instagram.com/daramericacasablanca/</t>
  </si>
  <si>
    <t>U.S. Ambassador to Morocco</t>
  </si>
  <si>
    <t>https://x.com/USAmbMorocco</t>
  </si>
  <si>
    <t>U.S. Embassy Rabat</t>
  </si>
  <si>
    <t>https://www.facebook.com/USEmbassyMorocco/</t>
  </si>
  <si>
    <t>https://www.flickr.com/photos/usembassyrabat</t>
  </si>
  <si>
    <t>https://www.instagram.com/usembassymorocco</t>
  </si>
  <si>
    <t>https://www.linkedin.com/company/u-s-mission-morocco/</t>
  </si>
  <si>
    <t>https://x.com/USEmbMorocco</t>
  </si>
  <si>
    <t>https://youtube.com/user/usembrabat</t>
  </si>
  <si>
    <t>Oman</t>
  </si>
  <si>
    <t>U.S. Embassy Muscat</t>
  </si>
  <si>
    <t>https://www.facebook.com/USEmbassyMuscat/</t>
  </si>
  <si>
    <t>https://www.instagram.com/usembassymuscat</t>
  </si>
  <si>
    <t>https://x.com/USEmbMuscat</t>
  </si>
  <si>
    <t>https://youtube.com/user/USEmbassyMuscat</t>
  </si>
  <si>
    <t>Qatar</t>
  </si>
  <si>
    <t>U.S. Ambassador to Qatar</t>
  </si>
  <si>
    <t>https://x.com/USAmbQatar</t>
  </si>
  <si>
    <t>U.S. Embassy Doha</t>
  </si>
  <si>
    <t>https://www.facebook.com/USEmbassyDoha/</t>
  </si>
  <si>
    <r>
      <rPr>
        <rFont val="Calibri"/>
        <color rgb="FF1155CC"/>
        <sz val="12.0"/>
        <u/>
      </rPr>
      <t>https://www.instagram.com/usembassydoha</t>
    </r>
    <r>
      <rPr>
        <rFont val="Calibri"/>
        <color rgb="FF000000"/>
        <sz val="12.0"/>
        <u/>
      </rPr>
      <t xml:space="preserve"> </t>
    </r>
  </si>
  <si>
    <t>https://x.com/USEmbassyDoha</t>
  </si>
  <si>
    <t>https://youtube.com/user/AmericanEmbassyDoha</t>
  </si>
  <si>
    <t>Saudi Arabia</t>
  </si>
  <si>
    <t>American Citizen Services Saudi Arabia</t>
  </si>
  <si>
    <t>https://x.com/ksa_acs</t>
  </si>
  <si>
    <t>U.S. Consulate General Dhahran</t>
  </si>
  <si>
    <t>https://www.facebook.com/USConsulateGeneralDhahran</t>
  </si>
  <si>
    <t>https://www.instagram.com/usconsulatedhahran/</t>
  </si>
  <si>
    <t>https://x.com/usaindhahran</t>
  </si>
  <si>
    <t>U.S. Consulate General Jeddah</t>
  </si>
  <si>
    <t>https://www.facebook.com/usconsulatejeddah/</t>
  </si>
  <si>
    <r>
      <rPr>
        <rFont val="Calibri"/>
        <color rgb="FF1155CC"/>
        <sz val="12.0"/>
        <u/>
      </rPr>
      <t>https://www.instagram.com/usconsulatejeddah/</t>
    </r>
    <r>
      <rPr>
        <rFont val="Calibri"/>
        <color rgb="FF000000"/>
        <sz val="12.0"/>
      </rPr>
      <t xml:space="preserve"> </t>
    </r>
  </si>
  <si>
    <r>
      <rPr>
        <rFont val="Calibri"/>
        <color rgb="FF1155CC"/>
        <sz val="12.0"/>
        <u/>
      </rPr>
      <t>https://x.com/usconsulatejed</t>
    </r>
    <r>
      <rPr>
        <rFont val="Calibri"/>
        <color rgb="FF000000"/>
        <sz val="12.0"/>
      </rPr>
      <t xml:space="preserve"> </t>
    </r>
  </si>
  <si>
    <t>https://www.youtube.com/@USConsulateJed</t>
  </si>
  <si>
    <t>U.S. Embassy Riyadh</t>
  </si>
  <si>
    <t>https://www.facebook.com/USAinKSA/</t>
  </si>
  <si>
    <t>https://www.instagram.com/usainksa/</t>
  </si>
  <si>
    <t>Snapchat</t>
  </si>
  <si>
    <t>usainksa</t>
  </si>
  <si>
    <t>https://x.com/USAinKSA</t>
  </si>
  <si>
    <t>https://youtube.com/user/usembassyriyadh</t>
  </si>
  <si>
    <t>Syria</t>
  </si>
  <si>
    <t>U.S. Embassy Syria</t>
  </si>
  <si>
    <t>https://www.facebook.com/syria.usembassy/</t>
  </si>
  <si>
    <t>https://x.com/USEmbassySyria</t>
  </si>
  <si>
    <t>https://youtube.com/user/USEmbassyDamascus</t>
  </si>
  <si>
    <t>Tunisia</t>
  </si>
  <si>
    <t>U.S. Embassy Tunis</t>
  </si>
  <si>
    <t>https://www.facebook.com/usembassytunis/</t>
  </si>
  <si>
    <t>https://www.flickr.com/photos/usembassytunis/</t>
  </si>
  <si>
    <t>https://www.instagram.com/usembassytunis/</t>
  </si>
  <si>
    <t>https://www.linkedin.com/company/usembassytunis/</t>
  </si>
  <si>
    <t>https://x.com/usembassytunis</t>
  </si>
  <si>
    <t>https://youtube.com/user/usembassytunis</t>
  </si>
  <si>
    <t>U.S. Embassy Abu Dhabi</t>
  </si>
  <si>
    <t>https://www.facebook.com/USAinUAE/</t>
  </si>
  <si>
    <t>https://www.instagram.com/usainuae</t>
  </si>
  <si>
    <t>https://www.linkedin.com/company/usainuae/</t>
  </si>
  <si>
    <t>https://x.com/USAinUAE</t>
  </si>
  <si>
    <t>https://youtube.com/user/USEmbUAE</t>
  </si>
  <si>
    <t>Bureau of Near Eastern Affairs</t>
  </si>
  <si>
    <t>https://x.com/StateDept_NEA</t>
  </si>
  <si>
    <t>USMEPI</t>
  </si>
  <si>
    <t>https://www.facebook.com/USMEPI/</t>
  </si>
  <si>
    <t>https://x.com/USMEPI</t>
  </si>
  <si>
    <t>Virtual Embassy in Iran</t>
  </si>
  <si>
    <t>https://www.facebook.com/USAbehFarsi/</t>
  </si>
  <si>
    <t>https://www.instagram.com/usabehfarsi/</t>
  </si>
  <si>
    <t>https://x.com/USAbehFarsi</t>
  </si>
  <si>
    <t>Yemen</t>
  </si>
  <si>
    <t>U.S. Embassy Sana'a</t>
  </si>
  <si>
    <t>https://www.facebook.com/USEmbassyYemen/</t>
  </si>
  <si>
    <t>https://x.com/USEmbassyYemen</t>
  </si>
  <si>
    <t>https://youtube.com/user/USEmbassyYemen</t>
  </si>
  <si>
    <t>https://whatsapp.com/channel/0029VaKCAmaC6ZvmIO6Qc81u</t>
  </si>
  <si>
    <t>https://www.instagram.com/usembassyyemen/</t>
  </si>
  <si>
    <t>Notes</t>
  </si>
  <si>
    <t>SCA</t>
  </si>
  <si>
    <t>Afghanistan</t>
  </si>
  <si>
    <t>U.S. Ambassador to Kabul</t>
  </si>
  <si>
    <t>https://x.com/USAmbKabul</t>
  </si>
  <si>
    <t>U.S. Embassy Kabul</t>
  </si>
  <si>
    <t>https://www.facebook.com/kabulusembassy/</t>
  </si>
  <si>
    <t>https://x.com/USEmbassyKabul</t>
  </si>
  <si>
    <t>Bangladesh</t>
  </si>
  <si>
    <t>U.S. Embassy Dhaka</t>
  </si>
  <si>
    <t>https://www.facebook.com/bangladesh.usembassy/</t>
  </si>
  <si>
    <t>https://www.flickr.com/photos/usembassydhaka</t>
  </si>
  <si>
    <t>https://x.com/usembassydhaka</t>
  </si>
  <si>
    <t>https://www.youtube.com/user/TheUSEmbassyDhaka</t>
  </si>
  <si>
    <t>Bhutan</t>
  </si>
  <si>
    <t>U.S. Embassy New Delhi</t>
  </si>
  <si>
    <t>https://www.facebook.com/USandBhutan</t>
  </si>
  <si>
    <t>India</t>
  </si>
  <si>
    <t>U.S. Ambassador to India</t>
  </si>
  <si>
    <t>https://x.com/USAmbIndia</t>
  </si>
  <si>
    <t>U.S. Consulate General Chennai</t>
  </si>
  <si>
    <t>https://www.facebook.com/chennai.usconsulate</t>
  </si>
  <si>
    <t>https://www.instagram.com/usconsulatechennai</t>
  </si>
  <si>
    <t>https://x.com/USAndChennai</t>
  </si>
  <si>
    <t>https://www.youtube.com/user/AmConGenChennai</t>
  </si>
  <si>
    <t>U.S. Consulate General Hyderabad</t>
  </si>
  <si>
    <t>https://www.facebook.com/usconsulategeneralhyderabad/</t>
  </si>
  <si>
    <t>https://www.instagram.com/uscghyderabad</t>
  </si>
  <si>
    <t>https://x.com/USAndHyderabad</t>
  </si>
  <si>
    <t>U.S. Consul General Hyderabad</t>
  </si>
  <si>
    <t>https://x.com/USCGHyderabad</t>
  </si>
  <si>
    <t>youtube.com/user/USConsulateHyderabad</t>
  </si>
  <si>
    <t>U.S. Consulate General Kolkata</t>
  </si>
  <si>
    <t>https://www.facebook.com/Kolkata.usconsulate/</t>
  </si>
  <si>
    <t>https://www.instagram.com/usandkolkata</t>
  </si>
  <si>
    <t>https://www.youtube.com/user/AmCenterKolkata</t>
  </si>
  <si>
    <t>https://x.com/USAndKolkata</t>
  </si>
  <si>
    <t>U.S. Consulate General Mumbai</t>
  </si>
  <si>
    <t>https://www.facebook.com/Mumbai.usconsulate/</t>
  </si>
  <si>
    <t>https://www.instagram.com/usconsulategeneralmumbai</t>
  </si>
  <si>
    <t>https://x.com/USAndMumbai</t>
  </si>
  <si>
    <t>https://www.linkedin.com/company/u-s-consulate-general-mumbai/</t>
  </si>
  <si>
    <t>https://www.flickr.com/photos/usconsulatemumbai/sets</t>
  </si>
  <si>
    <t>https://www.youtube.com/user/usconsulatemumbai</t>
  </si>
  <si>
    <t>https://www.facebook.com/India.usembassy/</t>
  </si>
  <si>
    <t>https://www.instagram.com/usembassyindia</t>
  </si>
  <si>
    <t>https://x.com/USAndIndia</t>
  </si>
  <si>
    <t>https://www.flickr.com/photos/usembassynewdelhi/</t>
  </si>
  <si>
    <t>https://www.youtube.com/@USEmbassyNewDelhi</t>
  </si>
  <si>
    <t>Kazakhstan</t>
  </si>
  <si>
    <t>U.S. Consulate General Almaty</t>
  </si>
  <si>
    <t>https://www.facebook.com/uscgalmaty/</t>
  </si>
  <si>
    <t>https://www.instagram.com/uscgalmaty</t>
  </si>
  <si>
    <t>https://x.com/USCGAlmaty</t>
  </si>
  <si>
    <t>U.S. Embassy Astana</t>
  </si>
  <si>
    <t>https://www.facebook.com/usinkaz/</t>
  </si>
  <si>
    <t>https://www.instagram.com/usinkz</t>
  </si>
  <si>
    <t>https://www.instagram.com/usambkz/</t>
  </si>
  <si>
    <t>https://x.com/USEmbassyKAZ</t>
  </si>
  <si>
    <t>https://www.youtube.com/user/usembassyastana</t>
  </si>
  <si>
    <t>Kyrgyzstan</t>
  </si>
  <si>
    <t>U.S. Embassy Bishkek</t>
  </si>
  <si>
    <t>https://www.facebook.com/usembassy.bishkek/</t>
  </si>
  <si>
    <t>https://www.instagram.com/usembassybishkek</t>
  </si>
  <si>
    <t>https://x.com/USEmbassyKG</t>
  </si>
  <si>
    <t>https://t.me/USEmbassyKG</t>
  </si>
  <si>
    <t>https://www.youtube.com/user/USEmbassyBishkek</t>
  </si>
  <si>
    <t>Maldives</t>
  </si>
  <si>
    <t>U.S. Mission to Maldives</t>
  </si>
  <si>
    <t>https://x.com/USinMaldives</t>
  </si>
  <si>
    <t>https://www.facebook.com/USinMV/</t>
  </si>
  <si>
    <t>https://www.instagram.com/usinmaldives/</t>
  </si>
  <si>
    <t>Nepal</t>
  </si>
  <si>
    <t>U.S. Ambassador to Nepal</t>
  </si>
  <si>
    <t>https://x.com/USAmbNepal</t>
  </si>
  <si>
    <t>U.S. Embassy Kathmandu</t>
  </si>
  <si>
    <t>https://www.facebook.com/nepal.usembassy/</t>
  </si>
  <si>
    <t>https://www.flickr.com/photos/usembassykathmandu</t>
  </si>
  <si>
    <t>https://www.instagram.com/usembassynepal</t>
  </si>
  <si>
    <t>https://x.com/USEmbassyNepal</t>
  </si>
  <si>
    <t>https://www.youtube.com/user/usembassykathmandu</t>
  </si>
  <si>
    <t>Pakistan</t>
  </si>
  <si>
    <t>U.S. Consulate General Karachi</t>
  </si>
  <si>
    <t>https://www.facebook.com/karachi.usconsulate/</t>
  </si>
  <si>
    <t>https://www.instagram.com/usconsulate_khi</t>
  </si>
  <si>
    <t>https://x.com/usconsulatekhi</t>
  </si>
  <si>
    <t>https://www.flickr.com/photos/usconsulatekhi</t>
  </si>
  <si>
    <t>https://www.youtube.com/user/usconsulatekarachi</t>
  </si>
  <si>
    <t>U.S. Consulate General Lahore</t>
  </si>
  <si>
    <t>https://www.facebook.com/lahore.usconsulate/</t>
  </si>
  <si>
    <t>https://www.instagram.com/lahore.usconsulate</t>
  </si>
  <si>
    <t>https://www.flickr.com/photos/uscglahore/</t>
  </si>
  <si>
    <t>https://x.com/USCGLahore</t>
  </si>
  <si>
    <t>U.S. Consulate General Peshawar</t>
  </si>
  <si>
    <t>https://www.facebook.com/peshawar.usconsulate/</t>
  </si>
  <si>
    <t>https://www.instagram.com/uscgpeshawar/</t>
  </si>
  <si>
    <t>https://x.com/USCGPeshawar</t>
  </si>
  <si>
    <t>U.S. Embassy Islamabad</t>
  </si>
  <si>
    <t>https://www.facebook.com/pakistan.usembassy/</t>
  </si>
  <si>
    <t>https://www.instagram.com/usembislamabad</t>
  </si>
  <si>
    <t>https://www.youtube.com/c/usembpak</t>
  </si>
  <si>
    <t>https://www.flickr.com/photos/usembpak/</t>
  </si>
  <si>
    <t>https://www.linkedin.com/company/u-s-embassy-pakistan/</t>
  </si>
  <si>
    <t>https://x.com/usembislamabad</t>
  </si>
  <si>
    <t>Sri Lanka</t>
  </si>
  <si>
    <t>U.S. Ambassador to Sri Lanka</t>
  </si>
  <si>
    <t>https://x.com/USAmbSL</t>
  </si>
  <si>
    <t>U.S. Embassy Colombo</t>
  </si>
  <si>
    <t>https://www.facebook.com/Colombo.USembassy/</t>
  </si>
  <si>
    <t>https://www.instagram.com/usembsl</t>
  </si>
  <si>
    <t>https://x.com/USEmbSL</t>
  </si>
  <si>
    <t>https://www.youtube.com/user/USEmbassySriLanka</t>
  </si>
  <si>
    <t>Tajikistan</t>
  </si>
  <si>
    <t>U.S. Embassy Dushanbe</t>
  </si>
  <si>
    <t>https://www.facebook.com/usembassy.dushanbe/</t>
  </si>
  <si>
    <t>https://www.instagram.com/usembassydushanbe</t>
  </si>
  <si>
    <t>https://x.com/USEmbDushanbe</t>
  </si>
  <si>
    <t>https://t.me/usembassydushanbe</t>
  </si>
  <si>
    <t>Turkmenistan</t>
  </si>
  <si>
    <t>U.S. Embassy Ashgabat</t>
  </si>
  <si>
    <t>https://www.facebook.com/usembassy.turkmenistan/</t>
  </si>
  <si>
    <t>https://www.instagram.com/usembassyashgabat</t>
  </si>
  <si>
    <t>https://www.youtube.com/user/IRCAshgabat</t>
  </si>
  <si>
    <t>Bureau of South and Central Asian Affairs</t>
  </si>
  <si>
    <t>https://x.com/State_SCA</t>
  </si>
  <si>
    <t>U.S. Special Representative for Afghanistan</t>
  </si>
  <si>
    <t>https://x.com/US4AfghanPeace</t>
  </si>
  <si>
    <t>Uzbekistan</t>
  </si>
  <si>
    <t>U.S. Ambassador to Uzbekistan</t>
  </si>
  <si>
    <t>https://x.com/UsAmbUzbekistan</t>
  </si>
  <si>
    <t>U.S. Embassy Tashkent</t>
  </si>
  <si>
    <t>https://www.facebook.com/usdos.uzbekistan/</t>
  </si>
  <si>
    <t>https://www.instagram.com/usembassytashkent</t>
  </si>
  <si>
    <t>https://www.youtube.com/user/usembassytashkent</t>
  </si>
  <si>
    <t>https://t.me/USAUzbekistan</t>
  </si>
  <si>
    <t>https://x.com/usembtashkent</t>
  </si>
  <si>
    <t>WHA</t>
  </si>
  <si>
    <t>Argentina</t>
  </si>
  <si>
    <t>U.S. Ambassador to Argentina</t>
  </si>
  <si>
    <t>https://x.com/USAmbassadorARG</t>
  </si>
  <si>
    <t>U.S. Embassy Buenos Aires</t>
  </si>
  <si>
    <t>https://www.facebook.com/EmbUSARG/</t>
  </si>
  <si>
    <t>https://x.com/EmbajadaEEUUarg</t>
  </si>
  <si>
    <t>https://x.com/USEmbArgentina</t>
  </si>
  <si>
    <t>American Citizen Serivces Argentina</t>
  </si>
  <si>
    <t>https://whatsapp.com/channel/0029VajpIXs84OmAZsk8oz2N</t>
  </si>
  <si>
    <t>https://www.linkedin.com/showcase/u-s-embassy-buenos-aires-argentina/</t>
  </si>
  <si>
    <t>https://www.flickr.com/photos/embajadaeeuubuenosaires/</t>
  </si>
  <si>
    <t>youtube.com/user/EmbajadaUSA</t>
  </si>
  <si>
    <t>Barbados</t>
  </si>
  <si>
    <t>U.S. Embassy Bridgetown</t>
  </si>
  <si>
    <t>https://www.facebook.com/USEmbassyBarbados/</t>
  </si>
  <si>
    <t>https://www.instagram.com/usembassybridgetown/</t>
  </si>
  <si>
    <t>https://x.com/USEmbassyBTown</t>
  </si>
  <si>
    <t>https://www.linkedin.com/company/u-s-embassy-bridgetown/</t>
  </si>
  <si>
    <t>youtube.com/user/USEmbassyBridgetown</t>
  </si>
  <si>
    <t>https://www.flickr.com/photos/pasbridgetown</t>
  </si>
  <si>
    <t>Belize</t>
  </si>
  <si>
    <t>U.S. Embassy Belmopan</t>
  </si>
  <si>
    <t>https://www.facebook.com/USMissionBelize/</t>
  </si>
  <si>
    <t>https://www.instagram.com/usmissionbelize/</t>
  </si>
  <si>
    <t>https://x.com/USMissionBelize</t>
  </si>
  <si>
    <t>youtube.com/channel/UCYwtJ0EVVwoq5MwjfPbHmNw</t>
  </si>
  <si>
    <t>Bolivia</t>
  </si>
  <si>
    <t>U.S. Embassy La Paz</t>
  </si>
  <si>
    <t>https://www.facebook.com/usdos.bolivia/</t>
  </si>
  <si>
    <t>https://www.flickr.com/photos/usembassybolivia/</t>
  </si>
  <si>
    <t>https://www.instagram.com/usembassybolivia</t>
  </si>
  <si>
    <t>https://x.com/EmbEUAenBolivia</t>
  </si>
  <si>
    <t>youtube.com/user/USEMBASSYLAPAZ</t>
  </si>
  <si>
    <t>SoundCloud</t>
  </si>
  <si>
    <t>https://soundcloud.com/usembassylapaz</t>
  </si>
  <si>
    <t>Brazil</t>
  </si>
  <si>
    <t>American Citizen Services Brazil</t>
  </si>
  <si>
    <t>https://x.com/USCitsBrazil</t>
  </si>
  <si>
    <t>https://whatsapp.com/channel/0029Vairm8jBKfhzWYUh5v1i</t>
  </si>
  <si>
    <t>U.S. Ambassador to Brazil</t>
  </si>
  <si>
    <t>https://x.com/USAmbBR</t>
  </si>
  <si>
    <t>U.S. Consulate General Recife</t>
  </si>
  <si>
    <t>https://www.instagram.com/consuladoeua_nordeste</t>
  </si>
  <si>
    <t>U.S. Consulate General Rio de Janeiro</t>
  </si>
  <si>
    <t>https://www.facebook.com/consuladoeuarj.br/</t>
  </si>
  <si>
    <t>https://www.instagram.com/consuladoeua.rio</t>
  </si>
  <si>
    <t>U.S. Consulate General Sao Paulo</t>
  </si>
  <si>
    <t>https://www.facebook.com/ConsuladoEUASP/</t>
  </si>
  <si>
    <t>https://www.instagram.com/consuladoeuasp/</t>
  </si>
  <si>
    <t>U.S. Embassy Brasilia</t>
  </si>
  <si>
    <t>https://www.facebook.com/EmbaixadadosEUA.BR</t>
  </si>
  <si>
    <t>https://www.flickr.com/photos/embaixadaeua-brasil/</t>
  </si>
  <si>
    <t>https://www.instagram.com/embaixadaeua</t>
  </si>
  <si>
    <t>https://x.com/EmbaixadaEUA</t>
  </si>
  <si>
    <t>youtube.com/user/embaixadaeua</t>
  </si>
  <si>
    <t>https://www.linkedin.com/company/embaixada-eua/</t>
  </si>
  <si>
    <t>Canada</t>
  </si>
  <si>
    <t>U.S. Ambassador to Canada</t>
  </si>
  <si>
    <t>https://x.com/usambcanada</t>
  </si>
  <si>
    <t>U.S. Consulate General Calgary</t>
  </si>
  <si>
    <t>https://www.facebook.com/USConsulateCalgary/</t>
  </si>
  <si>
    <t>https://x.com/usconscalgary</t>
  </si>
  <si>
    <t>https://www.instagram.com/usconscalgary/</t>
  </si>
  <si>
    <t>U.S. Consulate General Halifax</t>
  </si>
  <si>
    <t>https://x.com/usconshalifax</t>
  </si>
  <si>
    <t>https://www.facebook.com/usconsulatehalifax/</t>
  </si>
  <si>
    <t>U.S. Consulate General Montreal</t>
  </si>
  <si>
    <t>https://www.facebook.com/U.S.CGMontreal/</t>
  </si>
  <si>
    <t>https://www.instagram.com/usconsmontreal/</t>
  </si>
  <si>
    <t>https://www.linkedin.com/company/us-consulate-general-montr%C3%A9al/</t>
  </si>
  <si>
    <t>https://x.com/usconsmontreal</t>
  </si>
  <si>
    <t>https://www.youtube.com/@u.s.consulategeneralmontre4502</t>
  </si>
  <si>
    <t>U.S. Consulate General Toronto</t>
  </si>
  <si>
    <t>https://www.facebook.com/USConsulateToronto/</t>
  </si>
  <si>
    <t>https://www.instagram.com/usconstoronto</t>
  </si>
  <si>
    <t>https://x.com/usconstoronto</t>
  </si>
  <si>
    <t>U.S. Consulate General Vancouver</t>
  </si>
  <si>
    <t>https://www.facebook.com/USConsulateVancouver/</t>
  </si>
  <si>
    <t>https://x.com/usconsvancouver</t>
  </si>
  <si>
    <t>https://www.instagram.com/usconsvancouver/</t>
  </si>
  <si>
    <t>U.S. Consulate General Winnipeg</t>
  </si>
  <si>
    <t>https://www.facebook.com/USConsulateWinnipeg/</t>
  </si>
  <si>
    <t>https://x.com/USConsWinnipeg</t>
  </si>
  <si>
    <t>U.S. Consulate Quebec</t>
  </si>
  <si>
    <t>https://www.facebook.com/USConsulateQuebec/</t>
  </si>
  <si>
    <t>https://x.com/usconsquebec</t>
  </si>
  <si>
    <t>U.S. Embassy Ottawa</t>
  </si>
  <si>
    <t>https://www.facebook.com/canada.usembassy/</t>
  </si>
  <si>
    <t>https://www.flickr.com/photos/us_mission_canada/</t>
  </si>
  <si>
    <t>https://www.instagram.com/usembassyottawa</t>
  </si>
  <si>
    <t>https://www.linkedin.com/company/us-embassy-ottawa/</t>
  </si>
  <si>
    <t>https://x.com/usembassyottawa</t>
  </si>
  <si>
    <t>youtube.com/user/USEmbassyOttawa</t>
  </si>
  <si>
    <t>Chile</t>
  </si>
  <si>
    <t>U.S. Ambassador to Chile</t>
  </si>
  <si>
    <t>https://x.com/USAmbCL</t>
  </si>
  <si>
    <t>U.S. Embassy Santiago</t>
  </si>
  <si>
    <t>https://www.facebook.com/EmbajadaEEUUCl/</t>
  </si>
  <si>
    <t>https://www.flickr.com/photos/embajadaeeuu-chile/</t>
  </si>
  <si>
    <t>https://www.instagram.com/embajadaeeuucl</t>
  </si>
  <si>
    <t>https://www.linkedin.com/showcase/u-s-embassy-santiago-chile/</t>
  </si>
  <si>
    <t>https://x.com/EmbajadaEEUUcl</t>
  </si>
  <si>
    <t>youtube.com/user/santiagopress</t>
  </si>
  <si>
    <t>Colombia</t>
  </si>
  <si>
    <t>U.S. Embassy Bogota</t>
  </si>
  <si>
    <t>https://www.facebook.com/usdos.colombia/</t>
  </si>
  <si>
    <t>https://www.instagram.com/usembassybogota</t>
  </si>
  <si>
    <t>https://www.linkedin.com/showcase/u-s-embassy-bogot%C3%A1-colombia/</t>
  </si>
  <si>
    <t>https://x.com/USEmbassyBogota</t>
  </si>
  <si>
    <t>youtube.com/user/USEmbassyBogota</t>
  </si>
  <si>
    <t>U.S. Embassy Bogota ACS</t>
  </si>
  <si>
    <t>https://whatsapp.com/channel/0029VajwMf2LNSa92CocDY2y</t>
  </si>
  <si>
    <t>Costa Rica</t>
  </si>
  <si>
    <t>U.S. Ambassador to Costa Rica</t>
  </si>
  <si>
    <t>https://x.com/usambassadorcr</t>
  </si>
  <si>
    <t>U.S. Embassy San Jose</t>
  </si>
  <si>
    <t>https://www.facebook.com/sanjose.usembassy/</t>
  </si>
  <si>
    <t>https://www.instagram.com/usembassysjo/</t>
  </si>
  <si>
    <t>https://x.com/usembassysjo</t>
  </si>
  <si>
    <t>youtube.com/user/usembassysjo</t>
  </si>
  <si>
    <t>https://www.linkedin.com/company/u-s-embassy-in-costa-rica/</t>
  </si>
  <si>
    <t>https://www.flickr.com/photos/usembassysjo/</t>
  </si>
  <si>
    <t>Cuba</t>
  </si>
  <si>
    <t>U.S. Embassy Havana</t>
  </si>
  <si>
    <t>https://www.facebook.com/USEmbCuba/</t>
  </si>
  <si>
    <t>https://www.instagram.com/usembcuba/</t>
  </si>
  <si>
    <t>https://x.com/USEmbCuba</t>
  </si>
  <si>
    <t>Curacao</t>
  </si>
  <si>
    <t>U.S. Consulate General Willemstad</t>
  </si>
  <si>
    <t>https://www.facebook.com/curacao.usconsulate/</t>
  </si>
  <si>
    <t>https://www.instagram.com/usaindutchcaribbean/</t>
  </si>
  <si>
    <t>Dominican Republic</t>
  </si>
  <si>
    <t>U.S. Embassy Santo Domingo</t>
  </si>
  <si>
    <t>https://www.facebook.com/EmbajadaUSAenRD/</t>
  </si>
  <si>
    <t>https://www.instagram.com/embajadausaenrd</t>
  </si>
  <si>
    <t>https://x.com/EmbajadaUSAenRD</t>
  </si>
  <si>
    <t>youtube.com/user/embajadausaenrd</t>
  </si>
  <si>
    <t>Ecuador</t>
  </si>
  <si>
    <t>U.S. Embassy Quito</t>
  </si>
  <si>
    <t>https://www.facebook.com/USEmbassyEC/</t>
  </si>
  <si>
    <t>https://www.instagram.com/usembassyec/</t>
  </si>
  <si>
    <t>https://x.com/usembassyec</t>
  </si>
  <si>
    <t>youtube.com/user/USEmbassyQuito</t>
  </si>
  <si>
    <t>El Salvador</t>
  </si>
  <si>
    <t>U.S. Ambassador to El Salvador</t>
  </si>
  <si>
    <t>https://x.com/usambsv</t>
  </si>
  <si>
    <t>U.S. Embassy San Salvador</t>
  </si>
  <si>
    <t>https://www.facebook.com/embajadaamericanaelsalvador/</t>
  </si>
  <si>
    <t>https://www.instagram.com/usembassysv</t>
  </si>
  <si>
    <t>https://x.com/USEmbassySV</t>
  </si>
  <si>
    <t>youtube.com/user/usembassyelsalvador</t>
  </si>
  <si>
    <t>https://www.linkedin.com/company/u-s-embassy-in-san-salvador/</t>
  </si>
  <si>
    <t>https://www.flickr.com/photos/40236643@N04</t>
  </si>
  <si>
    <t>Guatemala</t>
  </si>
  <si>
    <t>U.S. Embassy Guatemala City</t>
  </si>
  <si>
    <t>https://www.facebook.com/Embajada.EEUU.Guatemala/</t>
  </si>
  <si>
    <t>https://www.instagram.com/usembassyguatemala</t>
  </si>
  <si>
    <t>https://x.com/usembassyguate</t>
  </si>
  <si>
    <t>https://www.youtube.com/@USEmbassyGUATE</t>
  </si>
  <si>
    <t>https://www.flickr.com/photos/usembassyguatemala/</t>
  </si>
  <si>
    <t>Guyana</t>
  </si>
  <si>
    <t>U.S. Ambassador to Guyana</t>
  </si>
  <si>
    <t>https://x.com/USAmbGuyana</t>
  </si>
  <si>
    <t>U.S. Embassy Georgetown</t>
  </si>
  <si>
    <t>https://www.facebook.com/USEmbassyGeorgetown/</t>
  </si>
  <si>
    <t>https://www.instagram.com/usembassygeorgetown</t>
  </si>
  <si>
    <t>https://x.com/EmbassyGuyana</t>
  </si>
  <si>
    <t>youtube.com/user/USEmbassyGuyana</t>
  </si>
  <si>
    <t>https://www.flickr.com/photos/usembassyguyana/</t>
  </si>
  <si>
    <t>Haiti</t>
  </si>
  <si>
    <t>American Citizen Services Port-au-Prince</t>
  </si>
  <si>
    <t>https://www.facebook.com/ACSPortauPrince</t>
  </si>
  <si>
    <t>U.S. Embassy Port-au-Prince</t>
  </si>
  <si>
    <t>https://www.facebook.com/USEmbassyHaiti/</t>
  </si>
  <si>
    <t>https://x.com/USEmbassyHaiti</t>
  </si>
  <si>
    <t>https://www.flickr.com/photos/139942824@N06/albums</t>
  </si>
  <si>
    <t>Honduras</t>
  </si>
  <si>
    <t>U.S. Ambassador to Honduras</t>
  </si>
  <si>
    <t>https://x.com/USAmbHonduras</t>
  </si>
  <si>
    <t>U.S. Embassy Tegucigalpa</t>
  </si>
  <si>
    <t>https://www.facebook.com/usembassyhn/</t>
  </si>
  <si>
    <t>https://www.instagram.com/usembassyhn</t>
  </si>
  <si>
    <t>https://x.com/usembassyhn</t>
  </si>
  <si>
    <t>https://www.youtube.com/@USEmbassyHN</t>
  </si>
  <si>
    <t>https://www.linkedin.com/company/us-embassy-tegucigalpa/</t>
  </si>
  <si>
    <t>https://www.flickr.com/photos/usembassyteg</t>
  </si>
  <si>
    <t>Jamaica</t>
  </si>
  <si>
    <t>U.S. Ambassador to Jamaica</t>
  </si>
  <si>
    <t>https://x.com/AmbassadorUS_JA</t>
  </si>
  <si>
    <t>U.S. Embassy Kingston</t>
  </si>
  <si>
    <t>https://www.facebook.com/USEmbassyJamaica/</t>
  </si>
  <si>
    <t>https://www.instagram.com/usembassyja</t>
  </si>
  <si>
    <t>https://x.com/USEmbassyJA</t>
  </si>
  <si>
    <t>youtube.com/user/AmEmbassyKingston</t>
  </si>
  <si>
    <t>https://www.flickr.com/photos/kingstonja</t>
  </si>
  <si>
    <t>Mexico</t>
  </si>
  <si>
    <t>U.S. Ambassador to Mexico</t>
  </si>
  <si>
    <t>https://x.com/USAmbMex</t>
  </si>
  <si>
    <t>U.S. Citizens in Mexico</t>
  </si>
  <si>
    <r>
      <rPr>
        <rFont val="Calibri"/>
        <color rgb="FF1155CC"/>
        <sz val="12.0"/>
        <u/>
      </rPr>
      <t>https://whatsapp.com/channel/0029VaNr4kZ3wtbHFxm9Dh2D</t>
    </r>
    <r>
      <rPr>
        <rFont val="Calibri"/>
        <color rgb="FF1155CC"/>
        <sz val="12.0"/>
        <u/>
      </rPr>
      <t xml:space="preserve"> </t>
    </r>
  </si>
  <si>
    <t>U.S. Consulate General Guadalajara</t>
  </si>
  <si>
    <t>https://www.facebook.com/USCGGuadalajara/</t>
  </si>
  <si>
    <t>https://x.com/USCGGuadalajara</t>
  </si>
  <si>
    <t>youtube.com/user/pdgdl</t>
  </si>
  <si>
    <t>U.S. Consulate General Hermosillo</t>
  </si>
  <si>
    <t>https://www.facebook.com/USConsuladoHer/</t>
  </si>
  <si>
    <t>https://x.com/USConsuladoHer</t>
  </si>
  <si>
    <t>youtube.com/user/usconsulateher</t>
  </si>
  <si>
    <t>https://www.instagram.com/usconsuladoher/</t>
  </si>
  <si>
    <t>U.S. Consulate General Juarez</t>
  </si>
  <si>
    <t>https://www.facebook.com/USCGCdJuarez/</t>
  </si>
  <si>
    <t>https://x.com/USCGCdJuarez</t>
  </si>
  <si>
    <t>youtube.com/user/pasjuarez</t>
  </si>
  <si>
    <t>https://whatsapp.com/channel/0029Va7VTm42P59qkRYcyl3M</t>
  </si>
  <si>
    <t>U.S. Consulate General Matamoros</t>
  </si>
  <si>
    <t>https://www.facebook.com/USCGMatamoros/</t>
  </si>
  <si>
    <t>https://x.com/USCGMatamoros</t>
  </si>
  <si>
    <t>youtube.com/user/uscgmatamoros</t>
  </si>
  <si>
    <t>U.S. Consulate General Merida</t>
  </si>
  <si>
    <t>https://www.facebook.com/ConsuladoEstadosUnidosMerida/</t>
  </si>
  <si>
    <t>https://x.com/ConsuladoUSAMer</t>
  </si>
  <si>
    <t>U.S. Consulate General Monterrey</t>
  </si>
  <si>
    <t>https://www.facebook.com/usconsulatemonterrey</t>
  </si>
  <si>
    <t>https://www.flickr.com/photos/uscgmonterrey/sets/</t>
  </si>
  <si>
    <t>https://x.com/USConsulateMTY</t>
  </si>
  <si>
    <t>youtube.com/user/AmericanConsulateMTY</t>
  </si>
  <si>
    <t>U.S. Consulate General Nogales</t>
  </si>
  <si>
    <t>https://www.facebook.com/ConsuladoNogales/</t>
  </si>
  <si>
    <t>https://x.com/USCGNogales</t>
  </si>
  <si>
    <t>U.S. Consulate General Nuevo Laredo</t>
  </si>
  <si>
    <t>https://www.facebook.com/consuladonuevolaredo/</t>
  </si>
  <si>
    <t>https://x.com/USAConNVL</t>
  </si>
  <si>
    <t>U.S. Consulate General Tijuana</t>
  </si>
  <si>
    <t>https://www.facebook.com/ConsuladoEstadosUnidosTijuana/</t>
  </si>
  <si>
    <t>https://x.com/ConsuladoUSATJ</t>
  </si>
  <si>
    <t>youtube.com/user/usconsulatetj</t>
  </si>
  <si>
    <t>U.S. Embassy Mexico City</t>
  </si>
  <si>
    <t>https://www.facebook.com/mexico.usembassy/</t>
  </si>
  <si>
    <t>https://www.instagram.com/usembassymex</t>
  </si>
  <si>
    <t>https://www.linkedin.com/company/u.s.-embassy-in-mexico/</t>
  </si>
  <si>
    <t>https://x.com/USConsularMex</t>
  </si>
  <si>
    <t>https://x.com/USEmbassyMEX</t>
  </si>
  <si>
    <t>youtube.com/user/usembassymx</t>
  </si>
  <si>
    <t>https://www.whatsapp.com/channel/0029VaNr4kZ3wtbHFxm9Dh2D</t>
  </si>
  <si>
    <t>https://www.whatsapp.com/channel/0029Va7VTm42P59qkRYcyl3M</t>
  </si>
  <si>
    <t>https://www.flickr.com/photos/61972246@N08/</t>
  </si>
  <si>
    <t>Nicaragua</t>
  </si>
  <si>
    <t>U.S. Ambassador to Nicaragua</t>
  </si>
  <si>
    <t>https://x.com/USAmbNicaragua</t>
  </si>
  <si>
    <t>U.S. Embassy Managua</t>
  </si>
  <si>
    <t>https://www.facebook.com/embusanic/</t>
  </si>
  <si>
    <t>https://www.instagram.com/embusanic</t>
  </si>
  <si>
    <t>https://x.com/USEmbNicaragua</t>
  </si>
  <si>
    <t>https://www.linkedin.com/company/usembassymanagua/</t>
  </si>
  <si>
    <t>https://www.flickr.com/photos/usembassymga/</t>
  </si>
  <si>
    <t>Panama</t>
  </si>
  <si>
    <t>U.S. Ambassador to Panama</t>
  </si>
  <si>
    <t>https://x.com/USAmbassadorPAN</t>
  </si>
  <si>
    <t>U.S. Embassy Panama City</t>
  </si>
  <si>
    <t>https://www.facebook.com/panamaestamosunidos/</t>
  </si>
  <si>
    <t>https://www.instagram.com/usembpan</t>
  </si>
  <si>
    <t>https://x.com/USEmbPAN</t>
  </si>
  <si>
    <t>https://www.linkedin.com/company/u-s-embassy-panama/</t>
  </si>
  <si>
    <t>https://www.flickr.com/photos/usembassypanama</t>
  </si>
  <si>
    <t>Paraguay</t>
  </si>
  <si>
    <t>U.S. Ambassador to Paraguay</t>
  </si>
  <si>
    <t>https://x.com/USAmbPY</t>
  </si>
  <si>
    <t>U.S. Embassy Asuncion</t>
  </si>
  <si>
    <t>https://www.facebook.com/laembajada</t>
  </si>
  <si>
    <t>https://www.instagram.com/laembajada</t>
  </si>
  <si>
    <t>https://x.com/laembajada</t>
  </si>
  <si>
    <t>youtube.com/user/EEUUParaguay</t>
  </si>
  <si>
    <t>https://www.flickr.com/photos/laembajada</t>
  </si>
  <si>
    <t>Peru</t>
  </si>
  <si>
    <t>American Citizen Services Lima</t>
  </si>
  <si>
    <t>https://www.facebook.com/AmericanCitizenServicesLima/</t>
  </si>
  <si>
    <t>U.S. Ambassador to Peru</t>
  </si>
  <si>
    <t>https://x.com/USAmbPeru</t>
  </si>
  <si>
    <t>U.S. Embassy Lima</t>
  </si>
  <si>
    <t>https://www.facebook.com/usembassyperu/</t>
  </si>
  <si>
    <t>https://www.instagram.com/usembassyperu</t>
  </si>
  <si>
    <t>https://x.com/USEMBASSYPERU</t>
  </si>
  <si>
    <t>youtube.com/user/USEMBASSYPERU</t>
  </si>
  <si>
    <t>https://www.flickr.com/photos/usembassyperu</t>
  </si>
  <si>
    <t>Suriname</t>
  </si>
  <si>
    <t>U.S. Embassy Paramaribo</t>
  </si>
  <si>
    <t>https://www.facebook.com/Embassy.Paramaribo/</t>
  </si>
  <si>
    <t>https://x.com/USEmbassyParbo</t>
  </si>
  <si>
    <t>https://www.youtube.com/channel/UCHzESEBzSH9JoYDg_H2fg5g</t>
  </si>
  <si>
    <t>https://flickr.com/photos/usembassyparamaribo/</t>
  </si>
  <si>
    <t>The Bahamas</t>
  </si>
  <si>
    <t>U.S. Embassy Nassau</t>
  </si>
  <si>
    <t>https://www.facebook.com/USEmbassyNassau</t>
  </si>
  <si>
    <t>https://www.instagram.com/usembassynassau</t>
  </si>
  <si>
    <t>https://x.com/USEmbassyNassau</t>
  </si>
  <si>
    <t>youtube.com/user/USEmbassyBahamas</t>
  </si>
  <si>
    <t>Trinidad and Tobago</t>
  </si>
  <si>
    <t>U.S. Embassy Port of Spain</t>
  </si>
  <si>
    <t>https://www.facebook.com/ttusa/</t>
  </si>
  <si>
    <t>https://www.instagram.com/usintt</t>
  </si>
  <si>
    <t>https://x.com/USinTT</t>
  </si>
  <si>
    <t>youtube.com/user/USEmbassyPOS</t>
  </si>
  <si>
    <t>Assistant Secretary of State Bureau of Western Hemisphere Affairs</t>
  </si>
  <si>
    <t>https://x.com/WHAAsstSecty</t>
  </si>
  <si>
    <t>Bureau of Western Hemisphere Affairs</t>
  </si>
  <si>
    <t>youtube.com/user/whabureau</t>
  </si>
  <si>
    <t>U.S. Permanent Representative to the Organization of American States</t>
  </si>
  <si>
    <t>https://x.com/USAmbOAS</t>
  </si>
  <si>
    <t>Young Leaders of the Americas Initiative</t>
  </si>
  <si>
    <t>https://www.facebook.com/ylainetwork/</t>
  </si>
  <si>
    <t>https://www.linkedin.com/company/young-leaders-of-the-americas-initiative/</t>
  </si>
  <si>
    <t>https://x.com/YLAINetwork</t>
  </si>
  <si>
    <t>https://www.instagram.com/ylainetwork/?hl=en</t>
  </si>
  <si>
    <t>Uruguay</t>
  </si>
  <si>
    <t>U.S. Ambassador to Uruguay</t>
  </si>
  <si>
    <t>https://x.com/usamburuguay</t>
  </si>
  <si>
    <t>https://www.instagram.com/usamburuguay</t>
  </si>
  <si>
    <t>U.S. Embassy Montevideo</t>
  </si>
  <si>
    <t>https://www.facebook.com/US.Embassy.Montevideo/</t>
  </si>
  <si>
    <t>https://www.instagram.com/usembassymvd</t>
  </si>
  <si>
    <t>https://x.com/usembassyMVD</t>
  </si>
  <si>
    <t>youtube.com/user/usembmvd</t>
  </si>
  <si>
    <t>https://www.flickr.com/photos/usembassy_montevideo</t>
  </si>
  <si>
    <t>Venezuela</t>
  </si>
  <si>
    <t>U.S. Embassy Caracas</t>
  </si>
  <si>
    <t>https://www.facebook.com/usembassyve</t>
  </si>
  <si>
    <t>https://www.flickr.com/photos/usembassyve</t>
  </si>
  <si>
    <t>https://www.instagram.com/usembassyve/</t>
  </si>
  <si>
    <t>https://x.com/usembassyve</t>
  </si>
  <si>
    <t>https://www.youtube.com/@USEMBCRS</t>
  </si>
  <si>
    <t>Embajada de los EE.UU., Venezuela</t>
  </si>
  <si>
    <t>https://whatsapp.com/channel/0029VaGlNLfBPzjRBkfqtA1V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</si>
</sst>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2">
    <font>
      <sz val="10.0"/>
      <color rgb="FF000000"/>
      <name val="Arial"/>
      <scheme val="minor"/>
    </font>
    <font>
      <b/>
      <sz val="12.0"/>
      <color theme="1"/>
      <name val="Calibri"/>
    </font>
    <font>
      <sz val="12.0"/>
      <color theme="1"/>
      <name val="Calibri"/>
    </font>
    <font>
      <u/>
      <sz val="12.0"/>
      <color rgb="FF0000FF"/>
      <name val="Calibri"/>
    </font>
    <font>
      <u/>
      <sz val="12.0"/>
      <color rgb="FF1155CC"/>
      <name val="Calibri"/>
    </font>
    <font>
      <u/>
      <sz val="12.0"/>
      <color rgb="FF1155CC"/>
      <name val="Calibri"/>
    </font>
    <font>
      <color rgb="FF000000"/>
      <name val="Arial"/>
      <scheme val="minor"/>
    </font>
    <font>
      <color theme="1"/>
      <name val="Arial"/>
      <scheme val="minor"/>
    </font>
    <font>
      <u/>
      <sz val="12.0"/>
      <color rgb="FF1155CC"/>
      <name val="Calibri"/>
    </font>
    <font>
      <sz val="12.0"/>
      <color rgb="FF222222"/>
      <name val="Calibri"/>
    </font>
    <font>
      <u/>
      <sz val="12.0"/>
      <color rgb="FF0000FF"/>
      <name val="Calibri"/>
    </font>
    <font>
      <u/>
      <sz val="12.0"/>
      <color rgb="FF0000FF"/>
      <name val="Calibri"/>
    </font>
    <font>
      <u/>
      <sz val="12.0"/>
      <color rgb="FF0563C1"/>
      <name val="Calibri"/>
    </font>
    <font>
      <u/>
      <sz val="12.0"/>
      <color rgb="FF0000FF"/>
      <name val="Calibri"/>
    </font>
    <font>
      <u/>
      <sz val="12.0"/>
      <color rgb="FF1155CC"/>
      <name val="Calibri"/>
    </font>
    <font>
      <sz val="12.0"/>
      <color rgb="FF000000"/>
      <name val="Calibri"/>
    </font>
    <font>
      <u/>
      <sz val="12.0"/>
      <color rgb="FF1155CC"/>
      <name val="Calibri"/>
    </font>
    <font>
      <u/>
      <sz val="12.0"/>
      <color rgb="FF1155CC"/>
      <name val="Calibri"/>
    </font>
    <font>
      <u/>
      <sz val="12.0"/>
      <color rgb="FF0563C1"/>
      <name val="Calibri"/>
    </font>
    <font>
      <u/>
      <sz val="12.0"/>
      <color rgb="FF1155CC"/>
      <name val="Calibri"/>
    </font>
    <font>
      <u/>
      <sz val="12.0"/>
      <color rgb="FF0000FF"/>
      <name val="Calibri"/>
    </font>
    <font>
      <u/>
      <sz val="12.0"/>
      <color rgb="FF1155CC"/>
      <name val="Calibri"/>
    </font>
    <font>
      <u/>
      <sz val="12.0"/>
      <color rgb="FF0000FF"/>
      <name val="Calibri"/>
    </font>
    <font>
      <u/>
      <sz val="12.0"/>
      <color rgb="FF0000FF"/>
      <name val="Calibri"/>
    </font>
    <font>
      <u/>
      <sz val="12.0"/>
      <color rgb="FF0000FF"/>
      <name val="Calibri"/>
    </font>
    <font>
      <sz val="12.0"/>
      <color rgb="FF0000FF"/>
      <name val="Calibri"/>
    </font>
    <font>
      <color rgb="FF434343"/>
      <name val="Open Sans"/>
    </font>
    <font>
      <u/>
      <color rgb="FF1155CC"/>
      <name val="Open Sans"/>
    </font>
    <font>
      <u/>
      <sz val="12.0"/>
      <color rgb="FF1155CC"/>
      <name val="Calibri"/>
    </font>
    <font>
      <u/>
      <sz val="12.0"/>
      <color theme="1"/>
      <name val="Calibri"/>
    </font>
    <font>
      <u/>
      <sz val="12.0"/>
      <color rgb="FF0563C1"/>
      <name val="Calibri"/>
    </font>
    <font>
      <u/>
      <sz val="12.0"/>
      <color rgb="FF1155CC"/>
      <name val="Calibri"/>
    </font>
    <font>
      <u/>
      <sz val="12.0"/>
      <color theme="1"/>
      <name val="Calibri"/>
    </font>
    <font>
      <b/>
      <color theme="1"/>
      <name val="Arial"/>
      <scheme val="minor"/>
    </font>
    <font>
      <sz val="12.0"/>
      <color rgb="FF38761D"/>
      <name val="Calibri"/>
    </font>
    <font>
      <sz val="10.0"/>
      <color rgb="FF38761D"/>
      <name val="Open Sans"/>
    </font>
    <font>
      <u/>
      <sz val="12.0"/>
      <color rgb="FF1155CC"/>
      <name val="Calibri"/>
    </font>
    <font>
      <u/>
      <sz val="12.0"/>
      <color rgb="FF1155CC"/>
      <name val="Calibri"/>
    </font>
    <font>
      <u/>
      <sz val="12.0"/>
      <color rgb="FF0000FF"/>
      <name val="Calibri"/>
    </font>
    <font>
      <u/>
      <sz val="12.0"/>
      <color rgb="FF0000FF"/>
      <name val="Calibri"/>
    </font>
    <font>
      <u/>
      <sz val="12.0"/>
      <color rgb="FF0000FF"/>
      <name val="Calibri"/>
    </font>
    <font>
      <u/>
      <sz val="12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readingOrder="0" shrinkToFit="0" vertical="bottom" wrapText="1"/>
    </xf>
    <xf borderId="0" fillId="0" fontId="2" numFmtId="0" xfId="0" applyAlignment="1" applyFont="1">
      <alignment readingOrder="0" shrinkToFit="0" vertical="bottom" wrapText="1"/>
    </xf>
    <xf borderId="0" fillId="0" fontId="4" numFmtId="0" xfId="0" applyAlignment="1" applyFont="1">
      <alignment readingOrder="0" shrinkToFit="0" vertical="bottom" wrapText="1"/>
    </xf>
    <xf borderId="0" fillId="0" fontId="5" numFmtId="0" xfId="0" applyAlignment="1" applyFont="1">
      <alignment readingOrder="0" shrinkToFit="0" vertical="bottom" wrapText="1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 shrinkToFit="0" vertical="bottom" wrapText="1"/>
    </xf>
    <xf borderId="0" fillId="0" fontId="9" numFmtId="0" xfId="0" applyAlignment="1" applyFont="1">
      <alignment shrinkToFit="0" vertical="bottom" wrapText="1"/>
    </xf>
    <xf borderId="0" fillId="0" fontId="10" numFmtId="0" xfId="0" applyAlignment="1" applyFont="1">
      <alignment readingOrder="0" shrinkToFit="0" vertical="bottom" wrapText="1"/>
    </xf>
    <xf borderId="0" fillId="0" fontId="11" numFmtId="0" xfId="0" applyAlignment="1" applyFont="1">
      <alignment readingOrder="0" shrinkToFit="0" vertical="bottom" wrapText="1"/>
    </xf>
    <xf borderId="0" fillId="0" fontId="9" numFmtId="0" xfId="0" applyAlignment="1" applyFont="1">
      <alignment readingOrder="0" shrinkToFit="0" vertical="bottom" wrapText="1"/>
    </xf>
    <xf borderId="0" fillId="0" fontId="12" numFmtId="0" xfId="0" applyAlignment="1" applyFont="1">
      <alignment readingOrder="0" shrinkToFit="0" vertical="bottom" wrapText="1"/>
    </xf>
    <xf borderId="0" fillId="2" fontId="13" numFmtId="0" xfId="0" applyAlignment="1" applyFill="1" applyFont="1">
      <alignment readingOrder="0" shrinkToFit="0" vertical="bottom" wrapText="1"/>
    </xf>
    <xf borderId="0" fillId="2" fontId="2" numFmtId="0" xfId="0" applyAlignment="1" applyFont="1">
      <alignment readingOrder="0" shrinkToFit="0" vertical="bottom" wrapText="1"/>
    </xf>
    <xf borderId="0" fillId="2" fontId="14" numFmtId="0" xfId="0" applyAlignment="1" applyFont="1">
      <alignment readingOrder="0" shrinkToFit="0" vertical="bottom" wrapText="1"/>
    </xf>
    <xf borderId="0" fillId="0" fontId="15" numFmtId="0" xfId="0" applyAlignment="1" applyFont="1">
      <alignment readingOrder="0" shrinkToFit="0" vertical="bottom" wrapText="1"/>
    </xf>
    <xf borderId="0" fillId="0" fontId="16" numFmtId="0" xfId="0" applyAlignment="1" applyFont="1">
      <alignment shrinkToFit="0" vertical="bottom" wrapText="1"/>
    </xf>
    <xf borderId="0" fillId="0" fontId="17" numFmtId="0" xfId="0" applyAlignment="1" applyFont="1">
      <alignment shrinkToFit="0" vertical="bottom" wrapText="1"/>
    </xf>
    <xf borderId="0" fillId="2" fontId="2" numFmtId="0" xfId="0" applyAlignment="1" applyFont="1">
      <alignment shrinkToFit="0" vertical="bottom" wrapText="1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18" numFmtId="0" xfId="0" applyAlignment="1" applyFont="1">
      <alignment readingOrder="0" shrinkToFit="0" vertical="bottom" wrapText="1"/>
    </xf>
    <xf borderId="0" fillId="0" fontId="19" numFmtId="0" xfId="0" applyAlignment="1" applyFont="1">
      <alignment readingOrder="0" shrinkToFit="0" vertical="bottom" wrapText="1"/>
    </xf>
    <xf borderId="0" fillId="0" fontId="20" numFmtId="0" xfId="0" applyAlignment="1" applyFont="1">
      <alignment readingOrder="0"/>
    </xf>
    <xf borderId="0" fillId="2" fontId="2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2" fontId="2" numFmtId="0" xfId="0" applyAlignment="1" applyFont="1">
      <alignment shrinkToFit="0" vertical="bottom" wrapText="0"/>
    </xf>
    <xf borderId="0" fillId="0" fontId="7" numFmtId="0" xfId="0" applyAlignment="1" applyFont="1">
      <alignment shrinkToFit="0" wrapText="0"/>
    </xf>
    <xf borderId="0" fillId="2" fontId="21" numFmtId="0" xfId="0" applyAlignment="1" applyFont="1">
      <alignment readingOrder="0" shrinkToFit="0" vertical="bottom" wrapText="1"/>
    </xf>
    <xf borderId="0" fillId="0" fontId="2" numFmtId="0" xfId="0" applyAlignment="1" applyFont="1">
      <alignment readingOrder="0"/>
    </xf>
    <xf borderId="0" fillId="0" fontId="22" numFmtId="0" xfId="0" applyAlignment="1" applyFont="1">
      <alignment readingOrder="0"/>
    </xf>
    <xf borderId="0" fillId="0" fontId="23" numFmtId="0" xfId="0" applyAlignment="1" applyFont="1">
      <alignment readingOrder="0" shrinkToFit="0" vertical="bottom" wrapText="0"/>
    </xf>
    <xf borderId="0" fillId="0" fontId="24" numFmtId="0" xfId="0" applyAlignment="1" applyFont="1">
      <alignment readingOrder="0" shrinkToFit="0" vertical="bottom" wrapText="0"/>
    </xf>
    <xf borderId="1" fillId="0" fontId="2" numFmtId="0" xfId="0" applyAlignment="1" applyBorder="1" applyFont="1">
      <alignment shrinkToFit="0" vertical="bottom" wrapText="0"/>
    </xf>
    <xf borderId="1" fillId="0" fontId="25" numFmtId="0" xfId="0" applyAlignment="1" applyBorder="1" applyFont="1">
      <alignment readingOrder="0" shrinkToFit="0" vertical="bottom" wrapText="0"/>
    </xf>
    <xf borderId="1" fillId="0" fontId="26" numFmtId="0" xfId="0" applyAlignment="1" applyBorder="1" applyFont="1">
      <alignment shrinkToFit="0" vertical="bottom" wrapText="0"/>
    </xf>
    <xf borderId="1" fillId="0" fontId="27" numFmtId="0" xfId="0" applyAlignment="1" applyBorder="1" applyFont="1">
      <alignment shrinkToFit="0" vertical="bottom" wrapText="0"/>
    </xf>
    <xf borderId="0" fillId="0" fontId="28" numFmtId="0" xfId="0" applyAlignment="1" applyFont="1">
      <alignment readingOrder="0" shrinkToFit="0" vertical="bottom" wrapText="0"/>
    </xf>
    <xf borderId="0" fillId="0" fontId="29" numFmtId="0" xfId="0" applyAlignment="1" applyFont="1">
      <alignment readingOrder="0" shrinkToFit="0" vertical="bottom" wrapText="0"/>
    </xf>
    <xf borderId="0" fillId="0" fontId="30" numFmtId="0" xfId="0" applyAlignment="1" applyFont="1">
      <alignment readingOrder="0" shrinkToFit="0" vertical="bottom" wrapText="0"/>
    </xf>
    <xf borderId="0" fillId="0" fontId="31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wrapText="0"/>
    </xf>
    <xf borderId="0" fillId="3" fontId="7" numFmtId="0" xfId="0" applyAlignment="1" applyFill="1" applyFont="1">
      <alignment readingOrder="0"/>
    </xf>
    <xf borderId="0" fillId="3" fontId="7" numFmtId="0" xfId="0" applyFont="1"/>
    <xf borderId="0" fillId="0" fontId="32" numFmtId="0" xfId="0" applyAlignment="1" applyFont="1">
      <alignment readingOrder="0" shrinkToFit="0" vertical="bottom" wrapText="1"/>
    </xf>
    <xf borderId="0" fillId="0" fontId="1" numFmtId="0" xfId="0" applyAlignment="1" applyFont="1">
      <alignment readingOrder="0"/>
    </xf>
    <xf borderId="0" fillId="0" fontId="33" numFmtId="0" xfId="0" applyAlignment="1" applyFont="1">
      <alignment readingOrder="0" shrinkToFit="0" wrapText="1"/>
    </xf>
    <xf borderId="0" fillId="0" fontId="33" numFmtId="0" xfId="0" applyAlignment="1" applyFont="1">
      <alignment readingOrder="0"/>
    </xf>
    <xf borderId="0" fillId="0" fontId="34" numFmtId="0" xfId="0" applyAlignment="1" applyFont="1">
      <alignment readingOrder="0"/>
    </xf>
    <xf borderId="0" fillId="0" fontId="35" numFmtId="0" xfId="0" applyAlignment="1" applyFont="1">
      <alignment readingOrder="0"/>
    </xf>
    <xf borderId="0" fillId="0" fontId="36" numFmtId="0" xfId="0" applyAlignment="1" applyFont="1">
      <alignment readingOrder="0" shrinkToFit="0" vertical="bottom" wrapText="0"/>
    </xf>
    <xf borderId="0" fillId="2" fontId="37" numFmtId="0" xfId="0" applyAlignment="1" applyFont="1">
      <alignment readingOrder="0" shrinkToFit="0" vertical="bottom" wrapText="0"/>
    </xf>
    <xf borderId="0" fillId="0" fontId="38" numFmtId="0" xfId="0" applyAlignment="1" applyFont="1">
      <alignment readingOrder="0" shrinkToFit="0" vertical="bottom" wrapText="0"/>
    </xf>
    <xf borderId="0" fillId="0" fontId="2" numFmtId="0" xfId="0" applyFont="1"/>
    <xf borderId="0" fillId="0" fontId="7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0" fillId="0" fontId="39" numFmtId="0" xfId="0" applyAlignment="1" applyFont="1">
      <alignment shrinkToFit="0" wrapText="1"/>
    </xf>
    <xf borderId="0" fillId="0" fontId="40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4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vertical="bottom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2" pivot="0" name="IO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31:G31" displayName="Table_1" name="Table_1" id="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IO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x.com/EconAtState" TargetMode="External"/><Relationship Id="rId190" Type="http://schemas.openxmlformats.org/officeDocument/2006/relationships/hyperlink" Target="https://www.threads.net/@nmadmuseum" TargetMode="External"/><Relationship Id="rId42" Type="http://schemas.openxmlformats.org/officeDocument/2006/relationships/hyperlink" Target="https://x.com/BizAtState" TargetMode="External"/><Relationship Id="rId41" Type="http://schemas.openxmlformats.org/officeDocument/2006/relationships/hyperlink" Target="https://x.com/STASatState" TargetMode="External"/><Relationship Id="rId44" Type="http://schemas.openxmlformats.org/officeDocument/2006/relationships/hyperlink" Target="https://www.facebook.com/usafcp/" TargetMode="External"/><Relationship Id="rId194" Type="http://schemas.openxmlformats.org/officeDocument/2006/relationships/hyperlink" Target="https://www.linkedin.com/company/state-global-health-security-and-diplomacy/" TargetMode="External"/><Relationship Id="rId43" Type="http://schemas.openxmlformats.org/officeDocument/2006/relationships/hyperlink" Target="https://www.linkedin.com/company/bizatstate/" TargetMode="External"/><Relationship Id="rId193" Type="http://schemas.openxmlformats.org/officeDocument/2006/relationships/hyperlink" Target="https://x.com/UndersecPD" TargetMode="External"/><Relationship Id="rId46" Type="http://schemas.openxmlformats.org/officeDocument/2006/relationships/hyperlink" Target="https://www.facebook.com/AmericanEnglishforEducators" TargetMode="External"/><Relationship Id="rId192" Type="http://schemas.openxmlformats.org/officeDocument/2006/relationships/hyperlink" Target="https://www.linkedin.com/company/nmadmuseum/" TargetMode="External"/><Relationship Id="rId45" Type="http://schemas.openxmlformats.org/officeDocument/2006/relationships/hyperlink" Target="https://www.facebook.com/AmericanEnglishatState/" TargetMode="External"/><Relationship Id="rId191" Type="http://schemas.openxmlformats.org/officeDocument/2006/relationships/hyperlink" Target="https://x.com/NMADmuseum" TargetMode="External"/><Relationship Id="rId48" Type="http://schemas.openxmlformats.org/officeDocument/2006/relationships/hyperlink" Target="https://x.com/AmericanSpaces" TargetMode="External"/><Relationship Id="rId187" Type="http://schemas.openxmlformats.org/officeDocument/2006/relationships/hyperlink" Target="https://www.facebook.com/NMADmuseum/" TargetMode="External"/><Relationship Id="rId47" Type="http://schemas.openxmlformats.org/officeDocument/2006/relationships/hyperlink" Target="https://www.youtube.com/user/StateAmericanEnglish" TargetMode="External"/><Relationship Id="rId186" Type="http://schemas.openxmlformats.org/officeDocument/2006/relationships/hyperlink" Target="https://x.com/StatePRM" TargetMode="External"/><Relationship Id="rId185" Type="http://schemas.openxmlformats.org/officeDocument/2006/relationships/hyperlink" Target="https://www.instagram.com/stateprm/" TargetMode="External"/><Relationship Id="rId49" Type="http://schemas.openxmlformats.org/officeDocument/2006/relationships/hyperlink" Target="https://x.com/ECA_AS" TargetMode="External"/><Relationship Id="rId184" Type="http://schemas.openxmlformats.org/officeDocument/2006/relationships/hyperlink" Target="https://www.flickr.com/photos/stateprm/" TargetMode="External"/><Relationship Id="rId189" Type="http://schemas.openxmlformats.org/officeDocument/2006/relationships/hyperlink" Target="https://www.flickr.com/photos/nmadmuseum/" TargetMode="External"/><Relationship Id="rId188" Type="http://schemas.openxmlformats.org/officeDocument/2006/relationships/hyperlink" Target="https://www.instagram.com/NMADmuseum" TargetMode="External"/><Relationship Id="rId31" Type="http://schemas.openxmlformats.org/officeDocument/2006/relationships/hyperlink" Target="https://www.facebook.com/GPAtState" TargetMode="External"/><Relationship Id="rId30" Type="http://schemas.openxmlformats.org/officeDocument/2006/relationships/hyperlink" Target="https://www.linkedin.com/company/osacgov/" TargetMode="External"/><Relationship Id="rId33" Type="http://schemas.openxmlformats.org/officeDocument/2006/relationships/hyperlink" Target="https://www.linkedin.com/company/gpatstate/" TargetMode="External"/><Relationship Id="rId183" Type="http://schemas.openxmlformats.org/officeDocument/2006/relationships/hyperlink" Target="https://www.facebook.com/State.PRM" TargetMode="External"/><Relationship Id="rId32" Type="http://schemas.openxmlformats.org/officeDocument/2006/relationships/hyperlink" Target="https://x.com/GPatState" TargetMode="External"/><Relationship Id="rId182" Type="http://schemas.openxmlformats.org/officeDocument/2006/relationships/hyperlink" Target="https://x.com/PRMAsstSec" TargetMode="External"/><Relationship Id="rId35" Type="http://schemas.openxmlformats.org/officeDocument/2006/relationships/hyperlink" Target="https://www.linkedin.com/company/state-e/" TargetMode="External"/><Relationship Id="rId181" Type="http://schemas.openxmlformats.org/officeDocument/2006/relationships/hyperlink" Target="https://x.com/StateDeptPM" TargetMode="External"/><Relationship Id="rId34" Type="http://schemas.openxmlformats.org/officeDocument/2006/relationships/hyperlink" Target="https://www.linkedin.com/company/stas-at-state/" TargetMode="External"/><Relationship Id="rId180" Type="http://schemas.openxmlformats.org/officeDocument/2006/relationships/hyperlink" Target="https://x.com/AsstSecPM" TargetMode="External"/><Relationship Id="rId37" Type="http://schemas.openxmlformats.org/officeDocument/2006/relationships/hyperlink" Target="https://www.facebook.com/StateDeptE/" TargetMode="External"/><Relationship Id="rId176" Type="http://schemas.openxmlformats.org/officeDocument/2006/relationships/hyperlink" Target="https://www.linkedin.com/company/stateoes/" TargetMode="External"/><Relationship Id="rId36" Type="http://schemas.openxmlformats.org/officeDocument/2006/relationships/hyperlink" Target="https://x.com/State_E" TargetMode="External"/><Relationship Id="rId175" Type="http://schemas.openxmlformats.org/officeDocument/2006/relationships/hyperlink" Target="https://www.instagram.com/sciencediplomacy_usa/" TargetMode="External"/><Relationship Id="rId39" Type="http://schemas.openxmlformats.org/officeDocument/2006/relationships/hyperlink" Target="https://www.linkedin.com/company/econatstate/" TargetMode="External"/><Relationship Id="rId174" Type="http://schemas.openxmlformats.org/officeDocument/2006/relationships/hyperlink" Target="https://x.com/SciDiplomacyUSA" TargetMode="External"/><Relationship Id="rId38" Type="http://schemas.openxmlformats.org/officeDocument/2006/relationships/hyperlink" Target="https://www.facebook.com/EconAtState" TargetMode="External"/><Relationship Id="rId173" Type="http://schemas.openxmlformats.org/officeDocument/2006/relationships/hyperlink" Target="https://youtube.com/@sciencediplomacyusa429" TargetMode="External"/><Relationship Id="rId179" Type="http://schemas.openxmlformats.org/officeDocument/2006/relationships/hyperlink" Target="https://x.com/UnderSecStateP" TargetMode="External"/><Relationship Id="rId178" Type="http://schemas.openxmlformats.org/officeDocument/2006/relationships/hyperlink" Target="https://x.com/GISTNetwork" TargetMode="External"/><Relationship Id="rId177" Type="http://schemas.openxmlformats.org/officeDocument/2006/relationships/hyperlink" Target="https://www.facebook.com/GISTnet" TargetMode="External"/><Relationship Id="rId20" Type="http://schemas.openxmlformats.org/officeDocument/2006/relationships/hyperlink" Target="https://www.instagram.com/usa_humanrights/" TargetMode="External"/><Relationship Id="rId22" Type="http://schemas.openxmlformats.org/officeDocument/2006/relationships/hyperlink" Target="https://www.youtube.com/@bureauofdemocracyhumanrigh870" TargetMode="External"/><Relationship Id="rId21" Type="http://schemas.openxmlformats.org/officeDocument/2006/relationships/hyperlink" Target="https://x.com/StateDRL" TargetMode="External"/><Relationship Id="rId24" Type="http://schemas.openxmlformats.org/officeDocument/2006/relationships/hyperlink" Target="https://www.instagram.com/statedeptdss/" TargetMode="External"/><Relationship Id="rId23" Type="http://schemas.openxmlformats.org/officeDocument/2006/relationships/hyperlink" Target="https://www.facebook.com/StateDeptDSS" TargetMode="External"/><Relationship Id="rId26" Type="http://schemas.openxmlformats.org/officeDocument/2006/relationships/hyperlink" Target="https://www.youtube.com/@DiplomaticSecurityService" TargetMode="External"/><Relationship Id="rId25" Type="http://schemas.openxmlformats.org/officeDocument/2006/relationships/hyperlink" Target="https://x.com/StateDeptDSS" TargetMode="External"/><Relationship Id="rId28" Type="http://schemas.openxmlformats.org/officeDocument/2006/relationships/hyperlink" Target="https://www.flickr.com/people/statedeptdss/" TargetMode="External"/><Relationship Id="rId27" Type="http://schemas.openxmlformats.org/officeDocument/2006/relationships/hyperlink" Target="https://www.linkedin.com/showcase/diplomatic-security-service/" TargetMode="External"/><Relationship Id="rId29" Type="http://schemas.openxmlformats.org/officeDocument/2006/relationships/hyperlink" Target="https://x.com/OSACState" TargetMode="External"/><Relationship Id="rId11" Type="http://schemas.openxmlformats.org/officeDocument/2006/relationships/hyperlink" Target="https://www.youtube.com/@StateCDP" TargetMode="External"/><Relationship Id="rId10" Type="http://schemas.openxmlformats.org/officeDocument/2006/relationships/hyperlink" Target="https://www.linkedin.com/company/bureau-of-cyberspace-and-digital-policy/" TargetMode="External"/><Relationship Id="rId13" Type="http://schemas.openxmlformats.org/officeDocument/2006/relationships/hyperlink" Target="https://x.com/CSOAsstSec" TargetMode="External"/><Relationship Id="rId12" Type="http://schemas.openxmlformats.org/officeDocument/2006/relationships/hyperlink" Target="https://www.facebook.com/stateCSO/" TargetMode="External"/><Relationship Id="rId15" Type="http://schemas.openxmlformats.org/officeDocument/2006/relationships/hyperlink" Target="https://x.com/DeputySecState" TargetMode="External"/><Relationship Id="rId198" Type="http://schemas.openxmlformats.org/officeDocument/2006/relationships/hyperlink" Target="https://www.linkedin.com/company/stategwi/" TargetMode="External"/><Relationship Id="rId14" Type="http://schemas.openxmlformats.org/officeDocument/2006/relationships/hyperlink" Target="https://x.com/StateDeptCT" TargetMode="External"/><Relationship Id="rId197" Type="http://schemas.openxmlformats.org/officeDocument/2006/relationships/hyperlink" Target="https://www.facebook.com/StateGWI/" TargetMode="External"/><Relationship Id="rId17" Type="http://schemas.openxmlformats.org/officeDocument/2006/relationships/hyperlink" Target="https://x.com/DepSecStateMR" TargetMode="External"/><Relationship Id="rId196" Type="http://schemas.openxmlformats.org/officeDocument/2006/relationships/hyperlink" Target="https://x.com/stategwi" TargetMode="External"/><Relationship Id="rId16" Type="http://schemas.openxmlformats.org/officeDocument/2006/relationships/hyperlink" Target="https://www.instagram.com/deputysecstate/" TargetMode="External"/><Relationship Id="rId195" Type="http://schemas.openxmlformats.org/officeDocument/2006/relationships/hyperlink" Target="https://x.com/CounselorDOS" TargetMode="External"/><Relationship Id="rId19" Type="http://schemas.openxmlformats.org/officeDocument/2006/relationships/hyperlink" Target="https://www.facebook.com/StateDRL/" TargetMode="External"/><Relationship Id="rId18" Type="http://schemas.openxmlformats.org/officeDocument/2006/relationships/hyperlink" Target="https://www.instagram.com/depsecstatemr/" TargetMode="External"/><Relationship Id="rId199" Type="http://schemas.openxmlformats.org/officeDocument/2006/relationships/hyperlink" Target="https://x.com/US_Protocol" TargetMode="External"/><Relationship Id="rId84" Type="http://schemas.openxmlformats.org/officeDocument/2006/relationships/hyperlink" Target="https://www.linkedin.com/company/foreign-service-institute/" TargetMode="External"/><Relationship Id="rId83" Type="http://schemas.openxmlformats.org/officeDocument/2006/relationships/hyperlink" Target="https://x.com/fsiatstate" TargetMode="External"/><Relationship Id="rId86" Type="http://schemas.openxmlformats.org/officeDocument/2006/relationships/hyperlink" Target="https://x.com/HistoryAtState" TargetMode="External"/><Relationship Id="rId85" Type="http://schemas.openxmlformats.org/officeDocument/2006/relationships/hyperlink" Target="https://www.youtube.com/@FSI4000/" TargetMode="External"/><Relationship Id="rId88" Type="http://schemas.openxmlformats.org/officeDocument/2006/relationships/hyperlink" Target="https://x.com/AfricaMediaHub" TargetMode="External"/><Relationship Id="rId150" Type="http://schemas.openxmlformats.org/officeDocument/2006/relationships/hyperlink" Target="https://www.flickr.com/photos/isnbureau/" TargetMode="External"/><Relationship Id="rId87" Type="http://schemas.openxmlformats.org/officeDocument/2006/relationships/hyperlink" Target="https://www.facebook.com/USAfricaMediaHub/" TargetMode="External"/><Relationship Id="rId89" Type="http://schemas.openxmlformats.org/officeDocument/2006/relationships/hyperlink" Target="https://www.facebook.com/eapmediahub" TargetMode="External"/><Relationship Id="rId80" Type="http://schemas.openxmlformats.org/officeDocument/2006/relationships/hyperlink" Target="https://www.linkedin.com/company/bureauofenergyresources/" TargetMode="External"/><Relationship Id="rId82" Type="http://schemas.openxmlformats.org/officeDocument/2006/relationships/hyperlink" Target="https://www.facebook.com/ForeignServiceInstituteFSI/" TargetMode="External"/><Relationship Id="rId81" Type="http://schemas.openxmlformats.org/officeDocument/2006/relationships/hyperlink" Target="https://www.youtube.com/@bureauofenergyresources5835" TargetMode="External"/><Relationship Id="rId1" Type="http://schemas.openxmlformats.org/officeDocument/2006/relationships/hyperlink" Target="https://www.linkedin.com/company/department-of-state-industry-liaison/" TargetMode="External"/><Relationship Id="rId2" Type="http://schemas.openxmlformats.org/officeDocument/2006/relationships/hyperlink" Target="https://x.com/StateADS" TargetMode="External"/><Relationship Id="rId3" Type="http://schemas.openxmlformats.org/officeDocument/2006/relationships/hyperlink" Target="https://www.facebook.com/StateADS" TargetMode="External"/><Relationship Id="rId149" Type="http://schemas.openxmlformats.org/officeDocument/2006/relationships/hyperlink" Target="https://x.com/StateISN" TargetMode="External"/><Relationship Id="rId4" Type="http://schemas.openxmlformats.org/officeDocument/2006/relationships/hyperlink" Target="https://www.facebook.com/travelgov/" TargetMode="External"/><Relationship Id="rId148" Type="http://schemas.openxmlformats.org/officeDocument/2006/relationships/hyperlink" Target="https://www.linkedin.com/company/state-isn/" TargetMode="External"/><Relationship Id="rId9" Type="http://schemas.openxmlformats.org/officeDocument/2006/relationships/hyperlink" Target="https://x.com/StateCDP" TargetMode="External"/><Relationship Id="rId143" Type="http://schemas.openxmlformats.org/officeDocument/2006/relationships/hyperlink" Target="https://www.linkedin.com/showcase/usdos-irm/" TargetMode="External"/><Relationship Id="rId142" Type="http://schemas.openxmlformats.org/officeDocument/2006/relationships/hyperlink" Target="https://www.facebook.com/DOSIRF" TargetMode="External"/><Relationship Id="rId141" Type="http://schemas.openxmlformats.org/officeDocument/2006/relationships/hyperlink" Target="https://x.com/StateIRF" TargetMode="External"/><Relationship Id="rId140" Type="http://schemas.openxmlformats.org/officeDocument/2006/relationships/hyperlink" Target="https://x.com/IRF_Ambassador" TargetMode="External"/><Relationship Id="rId5" Type="http://schemas.openxmlformats.org/officeDocument/2006/relationships/hyperlink" Target="https://www.instagram.com/travelgov/" TargetMode="External"/><Relationship Id="rId147" Type="http://schemas.openxmlformats.org/officeDocument/2006/relationships/hyperlink" Target="https://www.facebook.com/StateDepartment.ISNBureau" TargetMode="External"/><Relationship Id="rId6" Type="http://schemas.openxmlformats.org/officeDocument/2006/relationships/hyperlink" Target="https://x.com/TravelGov" TargetMode="External"/><Relationship Id="rId146" Type="http://schemas.openxmlformats.org/officeDocument/2006/relationships/hyperlink" Target="https://www.linkedin.com/showcase/usdos-vsfs/" TargetMode="External"/><Relationship Id="rId7" Type="http://schemas.openxmlformats.org/officeDocument/2006/relationships/hyperlink" Target="https://www.youtube.com/user/TravelGov" TargetMode="External"/><Relationship Id="rId145" Type="http://schemas.openxmlformats.org/officeDocument/2006/relationships/hyperlink" Target="https://www.facebook.com/VSFSatState" TargetMode="External"/><Relationship Id="rId8" Type="http://schemas.openxmlformats.org/officeDocument/2006/relationships/hyperlink" Target="https://whatsapp.com/channel/0029Var8szHInlqREVL5jC0g" TargetMode="External"/><Relationship Id="rId144" Type="http://schemas.openxmlformats.org/officeDocument/2006/relationships/hyperlink" Target="https://x.com/StateDept_CIO" TargetMode="External"/><Relationship Id="rId73" Type="http://schemas.openxmlformats.org/officeDocument/2006/relationships/hyperlink" Target="https://x.com/SportsDiplomacy" TargetMode="External"/><Relationship Id="rId72" Type="http://schemas.openxmlformats.org/officeDocument/2006/relationships/hyperlink" Target="https://www.instagram.com/sportsdiplomacy/" TargetMode="External"/><Relationship Id="rId75" Type="http://schemas.openxmlformats.org/officeDocument/2006/relationships/hyperlink" Target="https://www.instagram.com/the_fulbright_program/" TargetMode="External"/><Relationship Id="rId74" Type="http://schemas.openxmlformats.org/officeDocument/2006/relationships/hyperlink" Target="https://www.facebook.com/fulbright" TargetMode="External"/><Relationship Id="rId77" Type="http://schemas.openxmlformats.org/officeDocument/2006/relationships/hyperlink" Target="https://www.linkedin.com/company/the-fulbright-program/" TargetMode="External"/><Relationship Id="rId76" Type="http://schemas.openxmlformats.org/officeDocument/2006/relationships/hyperlink" Target="https://x.com/FulbrightPrgrm" TargetMode="External"/><Relationship Id="rId79" Type="http://schemas.openxmlformats.org/officeDocument/2006/relationships/hyperlink" Target="https://x.com/EnergyAtState" TargetMode="External"/><Relationship Id="rId78" Type="http://schemas.openxmlformats.org/officeDocument/2006/relationships/hyperlink" Target="https://x.com/AsstSecENR" TargetMode="External"/><Relationship Id="rId71" Type="http://schemas.openxmlformats.org/officeDocument/2006/relationships/hyperlink" Target="https://www.facebook.com/SportsDiplomacyDivision/" TargetMode="External"/><Relationship Id="rId70" Type="http://schemas.openxmlformats.org/officeDocument/2006/relationships/hyperlink" Target="https://www.linkedin.com/company/ivlp-international-visitor-leadership-program/" TargetMode="External"/><Relationship Id="rId139" Type="http://schemas.openxmlformats.org/officeDocument/2006/relationships/hyperlink" Target="https://x.com/StateINL" TargetMode="External"/><Relationship Id="rId138" Type="http://schemas.openxmlformats.org/officeDocument/2006/relationships/hyperlink" Target="https://www.instagram.com/stateinl/" TargetMode="External"/><Relationship Id="rId137" Type="http://schemas.openxmlformats.org/officeDocument/2006/relationships/hyperlink" Target="https://www.facebook.com/StateINL/" TargetMode="External"/><Relationship Id="rId132" Type="http://schemas.openxmlformats.org/officeDocument/2006/relationships/hyperlink" Target="https://www.instagram.com/instatemag/" TargetMode="External"/><Relationship Id="rId131" Type="http://schemas.openxmlformats.org/officeDocument/2006/relationships/hyperlink" Target="https://x.com/StateMag" TargetMode="External"/><Relationship Id="rId130" Type="http://schemas.openxmlformats.org/officeDocument/2006/relationships/hyperlink" Target="https://www.facebook.com/statemagazine" TargetMode="External"/><Relationship Id="rId136" Type="http://schemas.openxmlformats.org/officeDocument/2006/relationships/hyperlink" Target="https://www.linkedin.com/showcase/u-s-department-of-state---careers-for-persons-with-disabilities" TargetMode="External"/><Relationship Id="rId135" Type="http://schemas.openxmlformats.org/officeDocument/2006/relationships/hyperlink" Target="https://www.instagram.com/doscareers" TargetMode="External"/><Relationship Id="rId134" Type="http://schemas.openxmlformats.org/officeDocument/2006/relationships/hyperlink" Target="https://x.com/doscareers" TargetMode="External"/><Relationship Id="rId133" Type="http://schemas.openxmlformats.org/officeDocument/2006/relationships/hyperlink" Target="https://www.facebook.com/doscareers" TargetMode="External"/><Relationship Id="rId62" Type="http://schemas.openxmlformats.org/officeDocument/2006/relationships/hyperlink" Target="https://x.com/ELPrograms" TargetMode="External"/><Relationship Id="rId61" Type="http://schemas.openxmlformats.org/officeDocument/2006/relationships/hyperlink" Target="https://www.youtube.com/user/EducationUSAtv" TargetMode="External"/><Relationship Id="rId64" Type="http://schemas.openxmlformats.org/officeDocument/2006/relationships/hyperlink" Target="https://www.instagram.com/voicesofexchange/" TargetMode="External"/><Relationship Id="rId63" Type="http://schemas.openxmlformats.org/officeDocument/2006/relationships/hyperlink" Target="https://www.facebook.com/InternationalExchangeAlumni" TargetMode="External"/><Relationship Id="rId66" Type="http://schemas.openxmlformats.org/officeDocument/2006/relationships/hyperlink" Target="https://www.linkedin.com/company/exchangealumni/" TargetMode="External"/><Relationship Id="rId172" Type="http://schemas.openxmlformats.org/officeDocument/2006/relationships/hyperlink" Target="https://www.flickr.com/photos/stateoesphotos/" TargetMode="External"/><Relationship Id="rId65" Type="http://schemas.openxmlformats.org/officeDocument/2006/relationships/hyperlink" Target="https://x.com/exchangealumni" TargetMode="External"/><Relationship Id="rId171" Type="http://schemas.openxmlformats.org/officeDocument/2006/relationships/hyperlink" Target="https://www.facebook.com/ScienceDiplomacyUSA/" TargetMode="External"/><Relationship Id="rId68" Type="http://schemas.openxmlformats.org/officeDocument/2006/relationships/hyperlink" Target="https://www.instagram.com/StateIVLP/" TargetMode="External"/><Relationship Id="rId170" Type="http://schemas.openxmlformats.org/officeDocument/2006/relationships/hyperlink" Target="https://www.youtube.com/@State_OBO" TargetMode="External"/><Relationship Id="rId67" Type="http://schemas.openxmlformats.org/officeDocument/2006/relationships/hyperlink" Target="https://www.facebook.com/StateIVLP" TargetMode="External"/><Relationship Id="rId60" Type="http://schemas.openxmlformats.org/officeDocument/2006/relationships/hyperlink" Target="https://www.linkedin.com/company/educationusa/" TargetMode="External"/><Relationship Id="rId165" Type="http://schemas.openxmlformats.org/officeDocument/2006/relationships/hyperlink" Target="https://www.linkedin.com/showcase/usdos-med/" TargetMode="External"/><Relationship Id="rId69" Type="http://schemas.openxmlformats.org/officeDocument/2006/relationships/hyperlink" Target="https://x.com/StateIVLP" TargetMode="External"/><Relationship Id="rId164" Type="http://schemas.openxmlformats.org/officeDocument/2006/relationships/hyperlink" Target="https://www.linkedin.com/company/doscfa/" TargetMode="External"/><Relationship Id="rId163" Type="http://schemas.openxmlformats.org/officeDocument/2006/relationships/hyperlink" Target="https://www.facebook.com/ofmdc" TargetMode="External"/><Relationship Id="rId162" Type="http://schemas.openxmlformats.org/officeDocument/2006/relationships/hyperlink" Target="https://www.instagram.com/DirARTState/" TargetMode="External"/><Relationship Id="rId169" Type="http://schemas.openxmlformats.org/officeDocument/2006/relationships/hyperlink" Target="https://www.instagram.com/state_obo/" TargetMode="External"/><Relationship Id="rId168" Type="http://schemas.openxmlformats.org/officeDocument/2006/relationships/hyperlink" Target="https://www.threads.net/@state_obo" TargetMode="External"/><Relationship Id="rId167" Type="http://schemas.openxmlformats.org/officeDocument/2006/relationships/hyperlink" Target="https://www.facebook.com/StateOBO" TargetMode="External"/><Relationship Id="rId166" Type="http://schemas.openxmlformats.org/officeDocument/2006/relationships/hyperlink" Target="https://www.linkedin.com/showcase/usdos-obo/" TargetMode="External"/><Relationship Id="rId51" Type="http://schemas.openxmlformats.org/officeDocument/2006/relationships/hyperlink" Target="https://www.instagram.com/exchangeourworld" TargetMode="External"/><Relationship Id="rId50" Type="http://schemas.openxmlformats.org/officeDocument/2006/relationships/hyperlink" Target="https://www.facebook.com/ExchangeProgramsAtState" TargetMode="External"/><Relationship Id="rId53" Type="http://schemas.openxmlformats.org/officeDocument/2006/relationships/hyperlink" Target="https://www.youtube.com/user/exchangesvideo" TargetMode="External"/><Relationship Id="rId52" Type="http://schemas.openxmlformats.org/officeDocument/2006/relationships/hyperlink" Target="https://x.com/ECAatState" TargetMode="External"/><Relationship Id="rId55" Type="http://schemas.openxmlformats.org/officeDocument/2006/relationships/hyperlink" Target="https://x.com/HeritageAtState" TargetMode="External"/><Relationship Id="rId161" Type="http://schemas.openxmlformats.org/officeDocument/2006/relationships/hyperlink" Target="https://x.com/DirARTState" TargetMode="External"/><Relationship Id="rId54" Type="http://schemas.openxmlformats.org/officeDocument/2006/relationships/hyperlink" Target="https://www.flickr.com/photos/exchangesphotos/" TargetMode="External"/><Relationship Id="rId160" Type="http://schemas.openxmlformats.org/officeDocument/2006/relationships/hyperlink" Target="https://www.instagram.com/artinembassies" TargetMode="External"/><Relationship Id="rId57" Type="http://schemas.openxmlformats.org/officeDocument/2006/relationships/hyperlink" Target="https://www.facebook.com/EducationUSA/" TargetMode="External"/><Relationship Id="rId56" Type="http://schemas.openxmlformats.org/officeDocument/2006/relationships/hyperlink" Target="https://x.com/CultureAtState" TargetMode="External"/><Relationship Id="rId159" Type="http://schemas.openxmlformats.org/officeDocument/2006/relationships/hyperlink" Target="https://www.youtube.com/user/artinembassies" TargetMode="External"/><Relationship Id="rId59" Type="http://schemas.openxmlformats.org/officeDocument/2006/relationships/hyperlink" Target="https://x.com/educationusa" TargetMode="External"/><Relationship Id="rId154" Type="http://schemas.openxmlformats.org/officeDocument/2006/relationships/hyperlink" Target="https://x.com/JTIP_State" TargetMode="External"/><Relationship Id="rId58" Type="http://schemas.openxmlformats.org/officeDocument/2006/relationships/hyperlink" Target="https://www.instagram.com/educationusa/" TargetMode="External"/><Relationship Id="rId153" Type="http://schemas.openxmlformats.org/officeDocument/2006/relationships/hyperlink" Target="https://www.instagram.com/trafficking_in_persons_state/" TargetMode="External"/><Relationship Id="rId152" Type="http://schemas.openxmlformats.org/officeDocument/2006/relationships/hyperlink" Target="https://www.facebook.com/usdos.jtip" TargetMode="External"/><Relationship Id="rId151" Type="http://schemas.openxmlformats.org/officeDocument/2006/relationships/hyperlink" Target="https://x.com/USNPT" TargetMode="External"/><Relationship Id="rId158" Type="http://schemas.openxmlformats.org/officeDocument/2006/relationships/hyperlink" Target="https://x.com/ArtinEmbassies" TargetMode="External"/><Relationship Id="rId157" Type="http://schemas.openxmlformats.org/officeDocument/2006/relationships/hyperlink" Target="https://www.facebook.com/ArtinembassiesAIE" TargetMode="External"/><Relationship Id="rId156" Type="http://schemas.openxmlformats.org/officeDocument/2006/relationships/hyperlink" Target="https://www.instagram.com/state_seas/" TargetMode="External"/><Relationship Id="rId155" Type="http://schemas.openxmlformats.org/officeDocument/2006/relationships/hyperlink" Target="https://x.com/StateSEAS" TargetMode="External"/><Relationship Id="rId107" Type="http://schemas.openxmlformats.org/officeDocument/2006/relationships/hyperlink" Target="https://x.com/USAemPortugues" TargetMode="External"/><Relationship Id="rId106" Type="http://schemas.openxmlformats.org/officeDocument/2006/relationships/hyperlink" Target="https://x.com/USAUrdu" TargetMode="External"/><Relationship Id="rId105" Type="http://schemas.openxmlformats.org/officeDocument/2006/relationships/hyperlink" Target="https://www.facebook.com/USAUrdu/" TargetMode="External"/><Relationship Id="rId104" Type="http://schemas.openxmlformats.org/officeDocument/2006/relationships/hyperlink" Target="https://x.com/USAHindiMein" TargetMode="External"/><Relationship Id="rId109" Type="http://schemas.openxmlformats.org/officeDocument/2006/relationships/hyperlink" Target="https://x.com/USAenEspanol" TargetMode="External"/><Relationship Id="rId108" Type="http://schemas.openxmlformats.org/officeDocument/2006/relationships/hyperlink" Target="https://www.facebook.com/USAenEspanolOficial" TargetMode="External"/><Relationship Id="rId103" Type="http://schemas.openxmlformats.org/officeDocument/2006/relationships/hyperlink" Target="https://www.facebook.com/USAHindiMein/" TargetMode="External"/><Relationship Id="rId102" Type="http://schemas.openxmlformats.org/officeDocument/2006/relationships/hyperlink" Target="https://x.com/ForeignPressCtr" TargetMode="External"/><Relationship Id="rId101" Type="http://schemas.openxmlformats.org/officeDocument/2006/relationships/hyperlink" Target="https://www.facebook.com/USDoS.FPC" TargetMode="External"/><Relationship Id="rId100" Type="http://schemas.openxmlformats.org/officeDocument/2006/relationships/hyperlink" Target="https://x.com/USAbilAraby" TargetMode="External"/><Relationship Id="rId212" Type="http://schemas.openxmlformats.org/officeDocument/2006/relationships/drawing" Target="../drawings/drawing1.xml"/><Relationship Id="rId211" Type="http://schemas.openxmlformats.org/officeDocument/2006/relationships/hyperlink" Target="https://x.com/undersect" TargetMode="External"/><Relationship Id="rId210" Type="http://schemas.openxmlformats.org/officeDocument/2006/relationships/hyperlink" Target="https://x.com/StateSPEHA" TargetMode="External"/><Relationship Id="rId129" Type="http://schemas.openxmlformats.org/officeDocument/2006/relationships/hyperlink" Target="https://www.facebook.com/StateDeptGTM/" TargetMode="External"/><Relationship Id="rId128" Type="http://schemas.openxmlformats.org/officeDocument/2006/relationships/hyperlink" Target="https://www.linkedin.com/company/gclogei" TargetMode="External"/><Relationship Id="rId127" Type="http://schemas.openxmlformats.org/officeDocument/2006/relationships/hyperlink" Target="https://youtube.com/@GlobalCommunityLiaisonOffice" TargetMode="External"/><Relationship Id="rId126" Type="http://schemas.openxmlformats.org/officeDocument/2006/relationships/hyperlink" Target="https://www.facebook.com/GlobalCommunityLiaisonOffice" TargetMode="External"/><Relationship Id="rId121" Type="http://schemas.openxmlformats.org/officeDocument/2006/relationships/hyperlink" Target="https://x.com/StateDept" TargetMode="External"/><Relationship Id="rId120" Type="http://schemas.openxmlformats.org/officeDocument/2006/relationships/hyperlink" Target="https://www.linkedin.com/company/doscareers/" TargetMode="External"/><Relationship Id="rId125" Type="http://schemas.openxmlformats.org/officeDocument/2006/relationships/hyperlink" Target="https://x.com/StateDG" TargetMode="External"/><Relationship Id="rId124" Type="http://schemas.openxmlformats.org/officeDocument/2006/relationships/hyperlink" Target="https://statedept.substack.com/" TargetMode="External"/><Relationship Id="rId123" Type="http://schemas.openxmlformats.org/officeDocument/2006/relationships/hyperlink" Target="https://rumble.com/c/StateDept" TargetMode="External"/><Relationship Id="rId122" Type="http://schemas.openxmlformats.org/officeDocument/2006/relationships/hyperlink" Target="https://www.youtube.com/@StateDept" TargetMode="External"/><Relationship Id="rId95" Type="http://schemas.openxmlformats.org/officeDocument/2006/relationships/hyperlink" Target="https://x.com/USApoRusski" TargetMode="External"/><Relationship Id="rId94" Type="http://schemas.openxmlformats.org/officeDocument/2006/relationships/hyperlink" Target="https://x.com/USAenFrancais" TargetMode="External"/><Relationship Id="rId97" Type="http://schemas.openxmlformats.org/officeDocument/2006/relationships/hyperlink" Target="https://x.com/statedeputyspox" TargetMode="External"/><Relationship Id="rId96" Type="http://schemas.openxmlformats.org/officeDocument/2006/relationships/hyperlink" Target="https://www.flickr.com/people/iip-photo-archive/" TargetMode="External"/><Relationship Id="rId99" Type="http://schemas.openxmlformats.org/officeDocument/2006/relationships/hyperlink" Target="https://www.instagram.com/usabilaraby/" TargetMode="External"/><Relationship Id="rId98" Type="http://schemas.openxmlformats.org/officeDocument/2006/relationships/hyperlink" Target="https://www.facebook.com/USAbilAraby/" TargetMode="External"/><Relationship Id="rId91" Type="http://schemas.openxmlformats.org/officeDocument/2006/relationships/hyperlink" Target="https://x.com/GPA_AS" TargetMode="External"/><Relationship Id="rId90" Type="http://schemas.openxmlformats.org/officeDocument/2006/relationships/hyperlink" Target="https://x.com/eAsiaMediaHub" TargetMode="External"/><Relationship Id="rId93" Type="http://schemas.openxmlformats.org/officeDocument/2006/relationships/hyperlink" Target="https://x.com/USAandEurope" TargetMode="External"/><Relationship Id="rId92" Type="http://schemas.openxmlformats.org/officeDocument/2006/relationships/hyperlink" Target="https://www.facebook.com/usaporusski/" TargetMode="External"/><Relationship Id="rId118" Type="http://schemas.openxmlformats.org/officeDocument/2006/relationships/hyperlink" Target="https://www.flickr.com/photos/statephotos" TargetMode="External"/><Relationship Id="rId117" Type="http://schemas.openxmlformats.org/officeDocument/2006/relationships/hyperlink" Target="https://www.facebook.com/statedept/" TargetMode="External"/><Relationship Id="rId116" Type="http://schemas.openxmlformats.org/officeDocument/2006/relationships/hyperlink" Target="https://x.com/statedeptspox" TargetMode="External"/><Relationship Id="rId115" Type="http://schemas.openxmlformats.org/officeDocument/2006/relationships/hyperlink" Target="https://www.youtube.com/@MeiGuoCanKao/" TargetMode="External"/><Relationship Id="rId119" Type="http://schemas.openxmlformats.org/officeDocument/2006/relationships/hyperlink" Target="https://www.instagram.com/statedept" TargetMode="External"/><Relationship Id="rId110" Type="http://schemas.openxmlformats.org/officeDocument/2006/relationships/hyperlink" Target="https://x.com/AmericaGovFr" TargetMode="External"/><Relationship Id="rId114" Type="http://schemas.openxmlformats.org/officeDocument/2006/relationships/hyperlink" Target="https://www.youtube.com/user/Americagov" TargetMode="External"/><Relationship Id="rId113" Type="http://schemas.openxmlformats.org/officeDocument/2006/relationships/hyperlink" Target="https://x.com/ShareAmerica_Ar" TargetMode="External"/><Relationship Id="rId112" Type="http://schemas.openxmlformats.org/officeDocument/2006/relationships/hyperlink" Target="https://x.com/shareamerica" TargetMode="External"/><Relationship Id="rId111" Type="http://schemas.openxmlformats.org/officeDocument/2006/relationships/hyperlink" Target="https://x.com/MeiGuoCanKao" TargetMode="External"/><Relationship Id="rId206" Type="http://schemas.openxmlformats.org/officeDocument/2006/relationships/hyperlink" Target="https://www.facebook.com/PEPFAR" TargetMode="External"/><Relationship Id="rId205" Type="http://schemas.openxmlformats.org/officeDocument/2006/relationships/hyperlink" Target="https://www.youtube.com/user/uspepfar" TargetMode="External"/><Relationship Id="rId204" Type="http://schemas.openxmlformats.org/officeDocument/2006/relationships/hyperlink" Target="https://www.instagram.com/pepfar/" TargetMode="External"/><Relationship Id="rId203" Type="http://schemas.openxmlformats.org/officeDocument/2006/relationships/hyperlink" Target="https://x.com/PEPFAR" TargetMode="External"/><Relationship Id="rId209" Type="http://schemas.openxmlformats.org/officeDocument/2006/relationships/hyperlink" Target="https://x.com/SubnationalDip" TargetMode="External"/><Relationship Id="rId208" Type="http://schemas.openxmlformats.org/officeDocument/2006/relationships/hyperlink" Target="https://www.instagram.com/secrubio/" TargetMode="External"/><Relationship Id="rId207" Type="http://schemas.openxmlformats.org/officeDocument/2006/relationships/hyperlink" Target="https://x.com/secrubio" TargetMode="External"/><Relationship Id="rId202" Type="http://schemas.openxmlformats.org/officeDocument/2006/relationships/hyperlink" Target="https://x.com/us_arctic" TargetMode="External"/><Relationship Id="rId201" Type="http://schemas.openxmlformats.org/officeDocument/2006/relationships/hyperlink" Target="https://x.com/StateOIG" TargetMode="External"/><Relationship Id="rId200" Type="http://schemas.openxmlformats.org/officeDocument/2006/relationships/hyperlink" Target="https://www.instagram.com/us_protocol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x.com/USAmbDRC" TargetMode="External"/><Relationship Id="rId42" Type="http://schemas.openxmlformats.org/officeDocument/2006/relationships/hyperlink" Target="https://www.youtube.com/@u.s.embassykinshasa619" TargetMode="External"/><Relationship Id="rId41" Type="http://schemas.openxmlformats.org/officeDocument/2006/relationships/hyperlink" Target="https://x.com/USEmbKinshasa" TargetMode="External"/><Relationship Id="rId44" Type="http://schemas.openxmlformats.org/officeDocument/2006/relationships/hyperlink" Target="https://whatsapp.com/channel/0029Vao93mQ1nozAEcsApT0Q" TargetMode="External"/><Relationship Id="rId43" Type="http://schemas.openxmlformats.org/officeDocument/2006/relationships/hyperlink" Target="https://www.flickr.com/photos/124109311@N07" TargetMode="External"/><Relationship Id="rId46" Type="http://schemas.openxmlformats.org/officeDocument/2006/relationships/hyperlink" Target="https://x.com/US_Emb_Djibouti" TargetMode="External"/><Relationship Id="rId45" Type="http://schemas.openxmlformats.org/officeDocument/2006/relationships/hyperlink" Target="https://www.facebook.com/usembassy.djibouti/" TargetMode="External"/><Relationship Id="rId48" Type="http://schemas.openxmlformats.org/officeDocument/2006/relationships/hyperlink" Target="https://facebook.com/malabo.usembassy" TargetMode="External"/><Relationship Id="rId47" Type="http://schemas.openxmlformats.org/officeDocument/2006/relationships/hyperlink" Target="https://www.youtube.com/@USEmbassyDjibouti" TargetMode="External"/><Relationship Id="rId49" Type="http://schemas.openxmlformats.org/officeDocument/2006/relationships/hyperlink" Target="https://www.instagram.com/usembassymalabo/" TargetMode="External"/><Relationship Id="rId31" Type="http://schemas.openxmlformats.org/officeDocument/2006/relationships/hyperlink" Target="https://x.com/USEmbNDjamena" TargetMode="External"/><Relationship Id="rId30" Type="http://schemas.openxmlformats.org/officeDocument/2006/relationships/hyperlink" Target="https://www.facebook.com/ndjamena.usembassy/" TargetMode="External"/><Relationship Id="rId33" Type="http://schemas.openxmlformats.org/officeDocument/2006/relationships/hyperlink" Target="https://x.com/USComoros" TargetMode="External"/><Relationship Id="rId32" Type="http://schemas.openxmlformats.org/officeDocument/2006/relationships/hyperlink" Target="https://www.facebook.com/USComoros/" TargetMode="External"/><Relationship Id="rId182" Type="http://schemas.openxmlformats.org/officeDocument/2006/relationships/drawing" Target="../drawings/drawing2.xml"/><Relationship Id="rId35" Type="http://schemas.openxmlformats.org/officeDocument/2006/relationships/hyperlink" Target="https://www.instagram.com/USEmbAbidjan/" TargetMode="External"/><Relationship Id="rId181" Type="http://schemas.openxmlformats.org/officeDocument/2006/relationships/hyperlink" Target="https://www.youtube.com/@usembassyzimbabwe" TargetMode="External"/><Relationship Id="rId34" Type="http://schemas.openxmlformats.org/officeDocument/2006/relationships/hyperlink" Target="https://www.facebook.com/USAbidjan/" TargetMode="External"/><Relationship Id="rId180" Type="http://schemas.openxmlformats.org/officeDocument/2006/relationships/hyperlink" Target="https://x.com/USEmbZim" TargetMode="External"/><Relationship Id="rId37" Type="http://schemas.openxmlformats.org/officeDocument/2006/relationships/hyperlink" Target="https://www.flickr.com/photos/us_embassy_abj/" TargetMode="External"/><Relationship Id="rId176" Type="http://schemas.openxmlformats.org/officeDocument/2006/relationships/hyperlink" Target="https://www.facebook.com/usembassyzambia/" TargetMode="External"/><Relationship Id="rId36" Type="http://schemas.openxmlformats.org/officeDocument/2006/relationships/hyperlink" Target="https://x.com/USEmbAbidjan" TargetMode="External"/><Relationship Id="rId175" Type="http://schemas.openxmlformats.org/officeDocument/2006/relationships/hyperlink" Target="https://www.linkedin.com/groups/7425359/" TargetMode="External"/><Relationship Id="rId39" Type="http://schemas.openxmlformats.org/officeDocument/2006/relationships/hyperlink" Target="https://facebook.com/ambassadeusakinshasa" TargetMode="External"/><Relationship Id="rId174" Type="http://schemas.openxmlformats.org/officeDocument/2006/relationships/hyperlink" Target="https://www.youtube.com/@YALINetwork" TargetMode="External"/><Relationship Id="rId38" Type="http://schemas.openxmlformats.org/officeDocument/2006/relationships/hyperlink" Target="https://www.youtube.com/@u.s.embassyabidjan" TargetMode="External"/><Relationship Id="rId173" Type="http://schemas.openxmlformats.org/officeDocument/2006/relationships/hyperlink" Target="https://x.com/YALINetwork" TargetMode="External"/><Relationship Id="rId179" Type="http://schemas.openxmlformats.org/officeDocument/2006/relationships/hyperlink" Target="https://www.facebook.com/usembassyzimbabwe/" TargetMode="External"/><Relationship Id="rId178" Type="http://schemas.openxmlformats.org/officeDocument/2006/relationships/hyperlink" Target="https://www.youtube.com/@usembassyzambia" TargetMode="External"/><Relationship Id="rId177" Type="http://schemas.openxmlformats.org/officeDocument/2006/relationships/hyperlink" Target="https://x.com/usembassyzambia" TargetMode="External"/><Relationship Id="rId20" Type="http://schemas.openxmlformats.org/officeDocument/2006/relationships/hyperlink" Target="https://www.facebook.com/USEmbassyPraia/" TargetMode="External"/><Relationship Id="rId22" Type="http://schemas.openxmlformats.org/officeDocument/2006/relationships/hyperlink" Target="https://x.com/USEmbassyPraia" TargetMode="External"/><Relationship Id="rId21" Type="http://schemas.openxmlformats.org/officeDocument/2006/relationships/hyperlink" Target="https://www.instagram.com/usembassypraia" TargetMode="External"/><Relationship Id="rId24" Type="http://schemas.openxmlformats.org/officeDocument/2006/relationships/hyperlink" Target="https://www.facebook.com/yaounde.usembassy/" TargetMode="External"/><Relationship Id="rId23" Type="http://schemas.openxmlformats.org/officeDocument/2006/relationships/hyperlink" Target="https://www.flickr.com/photos/embaixadaeua-caboverde/" TargetMode="External"/><Relationship Id="rId26" Type="http://schemas.openxmlformats.org/officeDocument/2006/relationships/hyperlink" Target="https://x.com/USEmbYaounde" TargetMode="External"/><Relationship Id="rId25" Type="http://schemas.openxmlformats.org/officeDocument/2006/relationships/hyperlink" Target="https://www.instagram.com/usembyaounde?" TargetMode="External"/><Relationship Id="rId28" Type="http://schemas.openxmlformats.org/officeDocument/2006/relationships/hyperlink" Target="https://www.facebook.com/usembassy.bangui/" TargetMode="External"/><Relationship Id="rId27" Type="http://schemas.openxmlformats.org/officeDocument/2006/relationships/hyperlink" Target="https://www.youtube.com/@USEmbassyYaounde" TargetMode="External"/><Relationship Id="rId29" Type="http://schemas.openxmlformats.org/officeDocument/2006/relationships/hyperlink" Target="https://x.com/EmbassyBangui" TargetMode="External"/><Relationship Id="rId11" Type="http://schemas.openxmlformats.org/officeDocument/2006/relationships/hyperlink" Target="https://x.com/USEmbassyBW" TargetMode="External"/><Relationship Id="rId10" Type="http://schemas.openxmlformats.org/officeDocument/2006/relationships/hyperlink" Target="https://www.instagram.com/usembassybw/" TargetMode="External"/><Relationship Id="rId13" Type="http://schemas.openxmlformats.org/officeDocument/2006/relationships/hyperlink" Target="https://www.flickr.com/photos/usembassybotswana/" TargetMode="External"/><Relationship Id="rId12" Type="http://schemas.openxmlformats.org/officeDocument/2006/relationships/hyperlink" Target="https://youtube.com/@u.s.missionbotswana8534" TargetMode="External"/><Relationship Id="rId15" Type="http://schemas.openxmlformats.org/officeDocument/2006/relationships/hyperlink" Target="https://www.instagram.com/usembassyouaga/" TargetMode="External"/><Relationship Id="rId14" Type="http://schemas.openxmlformats.org/officeDocument/2006/relationships/hyperlink" Target="https://www.facebook.com/U.S.EmbassyBF/" TargetMode="External"/><Relationship Id="rId17" Type="http://schemas.openxmlformats.org/officeDocument/2006/relationships/hyperlink" Target="https://www.youtube.com/user/usembassyburkina" TargetMode="External"/><Relationship Id="rId16" Type="http://schemas.openxmlformats.org/officeDocument/2006/relationships/hyperlink" Target="https://x.com/Usembassyouaga" TargetMode="External"/><Relationship Id="rId19" Type="http://schemas.openxmlformats.org/officeDocument/2006/relationships/hyperlink" Target="https://x.com/US_Emb_Burundi" TargetMode="External"/><Relationship Id="rId18" Type="http://schemas.openxmlformats.org/officeDocument/2006/relationships/hyperlink" Target="https://www.facebook.com/usembassy.bujumbura/" TargetMode="External"/><Relationship Id="rId84" Type="http://schemas.openxmlformats.org/officeDocument/2006/relationships/hyperlink" Target="https://www.youtube.com/@THEUSEMBASSYNAIROBI" TargetMode="External"/><Relationship Id="rId83" Type="http://schemas.openxmlformats.org/officeDocument/2006/relationships/hyperlink" Target="https://x.com/USEmbassyKenya" TargetMode="External"/><Relationship Id="rId86" Type="http://schemas.openxmlformats.org/officeDocument/2006/relationships/hyperlink" Target="https://www.facebook.com/usdos.Lesotho/" TargetMode="External"/><Relationship Id="rId85" Type="http://schemas.openxmlformats.org/officeDocument/2006/relationships/hyperlink" Target="https://www.flickr.com/photos/us_embassy_nairobi/" TargetMode="External"/><Relationship Id="rId88" Type="http://schemas.openxmlformats.org/officeDocument/2006/relationships/hyperlink" Target="https://www.facebook.com/monrovia.usembassy" TargetMode="External"/><Relationship Id="rId150" Type="http://schemas.openxmlformats.org/officeDocument/2006/relationships/hyperlink" Target="https://www.youtube.com/@USEmbassySA" TargetMode="External"/><Relationship Id="rId87" Type="http://schemas.openxmlformats.org/officeDocument/2006/relationships/hyperlink" Target="https://x.com/usembassymaseru" TargetMode="External"/><Relationship Id="rId89" Type="http://schemas.openxmlformats.org/officeDocument/2006/relationships/hyperlink" Target="https://x.com/embassymonrovia" TargetMode="External"/><Relationship Id="rId80" Type="http://schemas.openxmlformats.org/officeDocument/2006/relationships/hyperlink" Target="https://x.com/USAmbKenya" TargetMode="External"/><Relationship Id="rId82" Type="http://schemas.openxmlformats.org/officeDocument/2006/relationships/hyperlink" Target="https://www.instagram.com/usembassynairobi" TargetMode="External"/><Relationship Id="rId81" Type="http://schemas.openxmlformats.org/officeDocument/2006/relationships/hyperlink" Target="https://www.facebook.com/U.S.EmbassyNairobi/" TargetMode="External"/><Relationship Id="rId1" Type="http://schemas.openxmlformats.org/officeDocument/2006/relationships/hyperlink" Target="https://x.com/USAmbAngola" TargetMode="External"/><Relationship Id="rId2" Type="http://schemas.openxmlformats.org/officeDocument/2006/relationships/hyperlink" Target="https://www.facebook.com/USinLuanda" TargetMode="External"/><Relationship Id="rId3" Type="http://schemas.openxmlformats.org/officeDocument/2006/relationships/hyperlink" Target="https://www.instagram.com/usembassyluanda/" TargetMode="External"/><Relationship Id="rId149" Type="http://schemas.openxmlformats.org/officeDocument/2006/relationships/hyperlink" Target="https://x.com/USEmbassySA" TargetMode="External"/><Relationship Id="rId4" Type="http://schemas.openxmlformats.org/officeDocument/2006/relationships/hyperlink" Target="https://x.com/usembassyluanda" TargetMode="External"/><Relationship Id="rId148" Type="http://schemas.openxmlformats.org/officeDocument/2006/relationships/hyperlink" Target="https://www.instagram.com/usembassysa" TargetMode="External"/><Relationship Id="rId9" Type="http://schemas.openxmlformats.org/officeDocument/2006/relationships/hyperlink" Target="https://www.facebook.com/U.S.EmbassyGaborone/" TargetMode="External"/><Relationship Id="rId143" Type="http://schemas.openxmlformats.org/officeDocument/2006/relationships/hyperlink" Target="https://x.com/USAmbRSA" TargetMode="External"/><Relationship Id="rId142" Type="http://schemas.openxmlformats.org/officeDocument/2006/relationships/hyperlink" Target="https://x.com/US2SOMALIA" TargetMode="External"/><Relationship Id="rId141" Type="http://schemas.openxmlformats.org/officeDocument/2006/relationships/hyperlink" Target="https://www.facebook.com/US2Somalia/" TargetMode="External"/><Relationship Id="rId140" Type="http://schemas.openxmlformats.org/officeDocument/2006/relationships/hyperlink" Target="https://x.com/USEmbFreetown" TargetMode="External"/><Relationship Id="rId5" Type="http://schemas.openxmlformats.org/officeDocument/2006/relationships/hyperlink" Target="https://www.facebook.com/usembassybenin/" TargetMode="External"/><Relationship Id="rId147" Type="http://schemas.openxmlformats.org/officeDocument/2006/relationships/hyperlink" Target="https://www.facebook.com/USEmbassySA/" TargetMode="External"/><Relationship Id="rId6" Type="http://schemas.openxmlformats.org/officeDocument/2006/relationships/hyperlink" Target="https://x.com/USEmbassyBenin" TargetMode="External"/><Relationship Id="rId146" Type="http://schemas.openxmlformats.org/officeDocument/2006/relationships/hyperlink" Target="https://x.com/usconsulatect" TargetMode="External"/><Relationship Id="rId7" Type="http://schemas.openxmlformats.org/officeDocument/2006/relationships/hyperlink" Target="https://www.flickr.com/photos/benin_cca" TargetMode="External"/><Relationship Id="rId145" Type="http://schemas.openxmlformats.org/officeDocument/2006/relationships/hyperlink" Target="https://www.instagram.com/usconsulatect/" TargetMode="External"/><Relationship Id="rId8" Type="http://schemas.openxmlformats.org/officeDocument/2006/relationships/hyperlink" Target="https://youtube.com/@usembassycotonou" TargetMode="External"/><Relationship Id="rId144" Type="http://schemas.openxmlformats.org/officeDocument/2006/relationships/hyperlink" Target="https://www.facebook.com/USConsulateCT/" TargetMode="External"/><Relationship Id="rId73" Type="http://schemas.openxmlformats.org/officeDocument/2006/relationships/hyperlink" Target="https://www.youtube.com/@usembassyghana" TargetMode="External"/><Relationship Id="rId72" Type="http://schemas.openxmlformats.org/officeDocument/2006/relationships/hyperlink" Target="https://x.com/USEmbassyGhana" TargetMode="External"/><Relationship Id="rId75" Type="http://schemas.openxmlformats.org/officeDocument/2006/relationships/hyperlink" Target="https://www.facebook.com/usembassyconakry/" TargetMode="External"/><Relationship Id="rId74" Type="http://schemas.openxmlformats.org/officeDocument/2006/relationships/hyperlink" Target="https://www.flickr.com/photos/usembghana" TargetMode="External"/><Relationship Id="rId77" Type="http://schemas.openxmlformats.org/officeDocument/2006/relationships/hyperlink" Target="https://x.com/EmbassyConakry" TargetMode="External"/><Relationship Id="rId76" Type="http://schemas.openxmlformats.org/officeDocument/2006/relationships/hyperlink" Target="https://www.instagram.com/usembassyconakry/" TargetMode="External"/><Relationship Id="rId79" Type="http://schemas.openxmlformats.org/officeDocument/2006/relationships/hyperlink" Target="https://www.facebook.com/usvpp.guineabissau/" TargetMode="External"/><Relationship Id="rId78" Type="http://schemas.openxmlformats.org/officeDocument/2006/relationships/hyperlink" Target="https://www.youtube.com/user/usembassyconakry" TargetMode="External"/><Relationship Id="rId71" Type="http://schemas.openxmlformats.org/officeDocument/2006/relationships/hyperlink" Target="https://www.instagram.com/usembassyghana" TargetMode="External"/><Relationship Id="rId70" Type="http://schemas.openxmlformats.org/officeDocument/2006/relationships/hyperlink" Target="https://www.facebook.com/USEmbassyGhana/" TargetMode="External"/><Relationship Id="rId139" Type="http://schemas.openxmlformats.org/officeDocument/2006/relationships/hyperlink" Target="https://www.facebook.com/sierraleone.usembassy/" TargetMode="External"/><Relationship Id="rId138" Type="http://schemas.openxmlformats.org/officeDocument/2006/relationships/hyperlink" Target="https://www.facebook.com/USinSeychelles" TargetMode="External"/><Relationship Id="rId137" Type="http://schemas.openxmlformats.org/officeDocument/2006/relationships/hyperlink" Target="https://www.youtube.com/@usembassysenegal" TargetMode="External"/><Relationship Id="rId132" Type="http://schemas.openxmlformats.org/officeDocument/2006/relationships/hyperlink" Target="https://www.facebook.com/kigali.usembassy/" TargetMode="External"/><Relationship Id="rId131" Type="http://schemas.openxmlformats.org/officeDocument/2006/relationships/hyperlink" Target="https://x.com/USAauCongo" TargetMode="External"/><Relationship Id="rId130" Type="http://schemas.openxmlformats.org/officeDocument/2006/relationships/hyperlink" Target="https://x.com/USAmbRwanda" TargetMode="External"/><Relationship Id="rId136" Type="http://schemas.openxmlformats.org/officeDocument/2006/relationships/hyperlink" Target="https://x.com/usembassydakar" TargetMode="External"/><Relationship Id="rId135" Type="http://schemas.openxmlformats.org/officeDocument/2006/relationships/hyperlink" Target="https://www.instagram.com/usembassydakar/" TargetMode="External"/><Relationship Id="rId134" Type="http://schemas.openxmlformats.org/officeDocument/2006/relationships/hyperlink" Target="https://www.facebook.com/usembassydakar/" TargetMode="External"/><Relationship Id="rId133" Type="http://schemas.openxmlformats.org/officeDocument/2006/relationships/hyperlink" Target="https://x.com/usambrwanda" TargetMode="External"/><Relationship Id="rId62" Type="http://schemas.openxmlformats.org/officeDocument/2006/relationships/hyperlink" Target="https://www.facebook.com/usdos.nouveauxhorizons/" TargetMode="External"/><Relationship Id="rId61" Type="http://schemas.openxmlformats.org/officeDocument/2006/relationships/hyperlink" Target="https://www.flickr.com/photos/146009313@N06/" TargetMode="External"/><Relationship Id="rId64" Type="http://schemas.openxmlformats.org/officeDocument/2006/relationships/hyperlink" Target="https://www.youtube.com/@ARSParis" TargetMode="External"/><Relationship Id="rId63" Type="http://schemas.openxmlformats.org/officeDocument/2006/relationships/hyperlink" Target="https://x.com/StateDeptARS" TargetMode="External"/><Relationship Id="rId66" Type="http://schemas.openxmlformats.org/officeDocument/2006/relationships/hyperlink" Target="https://www.instagram.com/us_embassy_libreville" TargetMode="External"/><Relationship Id="rId172" Type="http://schemas.openxmlformats.org/officeDocument/2006/relationships/hyperlink" Target="https://www.facebook.com/YALINetwork/" TargetMode="External"/><Relationship Id="rId65" Type="http://schemas.openxmlformats.org/officeDocument/2006/relationships/hyperlink" Target="https://facebook.com/USEmbassyLibreville" TargetMode="External"/><Relationship Id="rId171" Type="http://schemas.openxmlformats.org/officeDocument/2006/relationships/hyperlink" Target="https://x.com/US_SrAdvisorAF" TargetMode="External"/><Relationship Id="rId68" Type="http://schemas.openxmlformats.org/officeDocument/2006/relationships/hyperlink" Target="https://www.facebook.com/U.S.EmbassyBanjul/" TargetMode="External"/><Relationship Id="rId170" Type="http://schemas.openxmlformats.org/officeDocument/2006/relationships/hyperlink" Target="https://www.facebook.com/DOSAfricanAffairs/" TargetMode="External"/><Relationship Id="rId67" Type="http://schemas.openxmlformats.org/officeDocument/2006/relationships/hyperlink" Target="https://x.com/usembassygabon" TargetMode="External"/><Relationship Id="rId60" Type="http://schemas.openxmlformats.org/officeDocument/2006/relationships/hyperlink" Target="https://x.com/US_AU" TargetMode="External"/><Relationship Id="rId165" Type="http://schemas.openxmlformats.org/officeDocument/2006/relationships/hyperlink" Target="https://www.facebook.com/U.S.EmbassyKampala/" TargetMode="External"/><Relationship Id="rId69" Type="http://schemas.openxmlformats.org/officeDocument/2006/relationships/hyperlink" Target="https://x.com/USEmbassyBanjul" TargetMode="External"/><Relationship Id="rId164" Type="http://schemas.openxmlformats.org/officeDocument/2006/relationships/hyperlink" Target="https://x.com/USEmbassyLome" TargetMode="External"/><Relationship Id="rId163" Type="http://schemas.openxmlformats.org/officeDocument/2006/relationships/hyperlink" Target="https://www.facebook.com/USEmbassyLome/" TargetMode="External"/><Relationship Id="rId162" Type="http://schemas.openxmlformats.org/officeDocument/2006/relationships/hyperlink" Target="https://www.youtube.com/@USEmbassyTZA" TargetMode="External"/><Relationship Id="rId169" Type="http://schemas.openxmlformats.org/officeDocument/2006/relationships/hyperlink" Target="https://x.com/AsstSecStateAF" TargetMode="External"/><Relationship Id="rId168" Type="http://schemas.openxmlformats.org/officeDocument/2006/relationships/hyperlink" Target="https://www.flickr.com/photos/us_mission_uganda" TargetMode="External"/><Relationship Id="rId167" Type="http://schemas.openxmlformats.org/officeDocument/2006/relationships/hyperlink" Target="https://x.com/usmissionuganda" TargetMode="External"/><Relationship Id="rId166" Type="http://schemas.openxmlformats.org/officeDocument/2006/relationships/hyperlink" Target="https://www.instagram.com/usmissionuganda/" TargetMode="External"/><Relationship Id="rId51" Type="http://schemas.openxmlformats.org/officeDocument/2006/relationships/hyperlink" Target="https://www.facebook.com/usembassyasmara/" TargetMode="External"/><Relationship Id="rId50" Type="http://schemas.openxmlformats.org/officeDocument/2006/relationships/hyperlink" Target="https://x.com/USEmbassyEG" TargetMode="External"/><Relationship Id="rId53" Type="http://schemas.openxmlformats.org/officeDocument/2006/relationships/hyperlink" Target="https://x.com/USEmbEswatini" TargetMode="External"/><Relationship Id="rId52" Type="http://schemas.openxmlformats.org/officeDocument/2006/relationships/hyperlink" Target="https://www.facebook.com/usembassy.eswatini/" TargetMode="External"/><Relationship Id="rId55" Type="http://schemas.openxmlformats.org/officeDocument/2006/relationships/hyperlink" Target="https://www.instagram.com/usembassyaddisababa/" TargetMode="External"/><Relationship Id="rId161" Type="http://schemas.openxmlformats.org/officeDocument/2006/relationships/hyperlink" Target="https://www.linkedin.com/showcase/usambtanzania/" TargetMode="External"/><Relationship Id="rId54" Type="http://schemas.openxmlformats.org/officeDocument/2006/relationships/hyperlink" Target="https://www.facebook.com/us.emb.addisababa/" TargetMode="External"/><Relationship Id="rId160" Type="http://schemas.openxmlformats.org/officeDocument/2006/relationships/hyperlink" Target="https://x.com/usembassytz" TargetMode="External"/><Relationship Id="rId57" Type="http://schemas.openxmlformats.org/officeDocument/2006/relationships/hyperlink" Target="https://youtube.com/@USEmbassyAddisAbabaEthiopia" TargetMode="External"/><Relationship Id="rId56" Type="http://schemas.openxmlformats.org/officeDocument/2006/relationships/hyperlink" Target="https://x.com/USEmbassyAddis" TargetMode="External"/><Relationship Id="rId159" Type="http://schemas.openxmlformats.org/officeDocument/2006/relationships/hyperlink" Target="https://www.instagram.com/usembassytz/" TargetMode="External"/><Relationship Id="rId59" Type="http://schemas.openxmlformats.org/officeDocument/2006/relationships/hyperlink" Target="https://www.facebook.com/USAU09" TargetMode="External"/><Relationship Id="rId154" Type="http://schemas.openxmlformats.org/officeDocument/2006/relationships/hyperlink" Target="https://x.com/USAMBSudan" TargetMode="External"/><Relationship Id="rId58" Type="http://schemas.openxmlformats.org/officeDocument/2006/relationships/hyperlink" Target="https://www.flickr.com/photos/usembassyaddisababa" TargetMode="External"/><Relationship Id="rId153" Type="http://schemas.openxmlformats.org/officeDocument/2006/relationships/hyperlink" Target="https://x.com/USMissionJuba" TargetMode="External"/><Relationship Id="rId152" Type="http://schemas.openxmlformats.org/officeDocument/2006/relationships/hyperlink" Target="https://www.facebook.com/USEmbassySouthSudan" TargetMode="External"/><Relationship Id="rId151" Type="http://schemas.openxmlformats.org/officeDocument/2006/relationships/hyperlink" Target="https://www.linkedin.com/company/usembassysa/" TargetMode="External"/><Relationship Id="rId158" Type="http://schemas.openxmlformats.org/officeDocument/2006/relationships/hyperlink" Target="https://www.facebook.com/usembassytz/" TargetMode="External"/><Relationship Id="rId157" Type="http://schemas.openxmlformats.org/officeDocument/2006/relationships/hyperlink" Target="https://x.com/USAmbTanzania" TargetMode="External"/><Relationship Id="rId156" Type="http://schemas.openxmlformats.org/officeDocument/2006/relationships/hyperlink" Target="https://x.com/USEmbassyKRT" TargetMode="External"/><Relationship Id="rId155" Type="http://schemas.openxmlformats.org/officeDocument/2006/relationships/hyperlink" Target="https://www.facebook.com/khartoum.usembassy/" TargetMode="External"/><Relationship Id="rId107" Type="http://schemas.openxmlformats.org/officeDocument/2006/relationships/hyperlink" Target="https://x.com/USEmbassyMoris" TargetMode="External"/><Relationship Id="rId106" Type="http://schemas.openxmlformats.org/officeDocument/2006/relationships/hyperlink" Target="https://www.instagram.com/usembassymoris" TargetMode="External"/><Relationship Id="rId105" Type="http://schemas.openxmlformats.org/officeDocument/2006/relationships/hyperlink" Target="https://www.facebook.com/usembassy.portlouis/" TargetMode="External"/><Relationship Id="rId104" Type="http://schemas.openxmlformats.org/officeDocument/2006/relationships/hyperlink" Target="https://www.youtube.com/@usembassynouakchott" TargetMode="External"/><Relationship Id="rId109" Type="http://schemas.openxmlformats.org/officeDocument/2006/relationships/hyperlink" Target="https://facebook.com/U.S.EmbassyMozambique" TargetMode="External"/><Relationship Id="rId108" Type="http://schemas.openxmlformats.org/officeDocument/2006/relationships/hyperlink" Target="https://www.youtube.com/@usembassyportlouis" TargetMode="External"/><Relationship Id="rId103" Type="http://schemas.openxmlformats.org/officeDocument/2006/relationships/hyperlink" Target="https://x.com/usembnouakchott" TargetMode="External"/><Relationship Id="rId102" Type="http://schemas.openxmlformats.org/officeDocument/2006/relationships/hyperlink" Target="https://www.facebook.com/usembnouakchott/" TargetMode="External"/><Relationship Id="rId101" Type="http://schemas.openxmlformats.org/officeDocument/2006/relationships/hyperlink" Target="https://www.youtube.com/c/USEmbassyMali21" TargetMode="External"/><Relationship Id="rId100" Type="http://schemas.openxmlformats.org/officeDocument/2006/relationships/hyperlink" Target="https://x.com/USEmbassyMali" TargetMode="External"/><Relationship Id="rId129" Type="http://schemas.openxmlformats.org/officeDocument/2006/relationships/hyperlink" Target="https://www.facebook.com/USAauCongo/" TargetMode="External"/><Relationship Id="rId128" Type="http://schemas.openxmlformats.org/officeDocument/2006/relationships/hyperlink" Target="https://soundcloud.com/usinnigeria" TargetMode="External"/><Relationship Id="rId127" Type="http://schemas.openxmlformats.org/officeDocument/2006/relationships/hyperlink" Target="https://www.flickr.com/usembassynigeria" TargetMode="External"/><Relationship Id="rId126" Type="http://schemas.openxmlformats.org/officeDocument/2006/relationships/hyperlink" Target="https://www.youtube.com/usembassynigeria" TargetMode="External"/><Relationship Id="rId121" Type="http://schemas.openxmlformats.org/officeDocument/2006/relationships/hyperlink" Target="https://x.com/USEmbassyNiamey" TargetMode="External"/><Relationship Id="rId120" Type="http://schemas.openxmlformats.org/officeDocument/2006/relationships/hyperlink" Target="https://www.instagram.com/usembassyniger" TargetMode="External"/><Relationship Id="rId125" Type="http://schemas.openxmlformats.org/officeDocument/2006/relationships/hyperlink" Target="https://x.com/USinNigeria" TargetMode="External"/><Relationship Id="rId124" Type="http://schemas.openxmlformats.org/officeDocument/2006/relationships/hyperlink" Target="https://www.instagram.com/usinnigeria/" TargetMode="External"/><Relationship Id="rId123" Type="http://schemas.openxmlformats.org/officeDocument/2006/relationships/hyperlink" Target="https://www.facebook.com/usinnigeria/" TargetMode="External"/><Relationship Id="rId122" Type="http://schemas.openxmlformats.org/officeDocument/2006/relationships/hyperlink" Target="https://www.youtube.com/@USEmbassyNiamey" TargetMode="External"/><Relationship Id="rId95" Type="http://schemas.openxmlformats.org/officeDocument/2006/relationships/hyperlink" Target="https://www.facebook.com/USEmbassyLilongwe/" TargetMode="External"/><Relationship Id="rId94" Type="http://schemas.openxmlformats.org/officeDocument/2006/relationships/hyperlink" Target="https://www.youtube.com/@USinMadaComoros" TargetMode="External"/><Relationship Id="rId97" Type="http://schemas.openxmlformats.org/officeDocument/2006/relationships/hyperlink" Target="https://www.youtube.com/@U.S.EmbassyLilongwe" TargetMode="External"/><Relationship Id="rId96" Type="http://schemas.openxmlformats.org/officeDocument/2006/relationships/hyperlink" Target="https://x.com/USEmbassyLLW" TargetMode="External"/><Relationship Id="rId99" Type="http://schemas.openxmlformats.org/officeDocument/2006/relationships/hyperlink" Target="https://www.facebook.com/USEmbassyMali" TargetMode="External"/><Relationship Id="rId98" Type="http://schemas.openxmlformats.org/officeDocument/2006/relationships/hyperlink" Target="https://www.flickr.com/photos/usembassylilongwe" TargetMode="External"/><Relationship Id="rId91" Type="http://schemas.openxmlformats.org/officeDocument/2006/relationships/hyperlink" Target="https://www.facebook.com/usembassy.madagascar/" TargetMode="External"/><Relationship Id="rId90" Type="http://schemas.openxmlformats.org/officeDocument/2006/relationships/hyperlink" Target="https://www.flickr.com/photos/usembassymonrovia/" TargetMode="External"/><Relationship Id="rId93" Type="http://schemas.openxmlformats.org/officeDocument/2006/relationships/hyperlink" Target="https://x.com/USMadagascar" TargetMode="External"/><Relationship Id="rId92" Type="http://schemas.openxmlformats.org/officeDocument/2006/relationships/hyperlink" Target="https://www.instagram.com/usembmada/" TargetMode="External"/><Relationship Id="rId118" Type="http://schemas.openxmlformats.org/officeDocument/2006/relationships/hyperlink" Target="https://www.flickr.com/photos/usembassynamibia" TargetMode="External"/><Relationship Id="rId117" Type="http://schemas.openxmlformats.org/officeDocument/2006/relationships/hyperlink" Target="https://www.youtube.com/@usembnamibia" TargetMode="External"/><Relationship Id="rId116" Type="http://schemas.openxmlformats.org/officeDocument/2006/relationships/hyperlink" Target="https://x.com/USEmbNamibia" TargetMode="External"/><Relationship Id="rId115" Type="http://schemas.openxmlformats.org/officeDocument/2006/relationships/hyperlink" Target="https://www.instagram.com/usembnamibia/" TargetMode="External"/><Relationship Id="rId119" Type="http://schemas.openxmlformats.org/officeDocument/2006/relationships/hyperlink" Target="https://www.facebook.com/U.S.EmbassyNiamey/" TargetMode="External"/><Relationship Id="rId110" Type="http://schemas.openxmlformats.org/officeDocument/2006/relationships/hyperlink" Target="https://www.instagram.com/usembassymozambique/" TargetMode="External"/><Relationship Id="rId114" Type="http://schemas.openxmlformats.org/officeDocument/2006/relationships/hyperlink" Target="https://www.facebook.com/namibia.usembassy/" TargetMode="External"/><Relationship Id="rId113" Type="http://schemas.openxmlformats.org/officeDocument/2006/relationships/hyperlink" Target="https://www.flickr.com/photos/usembassymaputo/sets/" TargetMode="External"/><Relationship Id="rId112" Type="http://schemas.openxmlformats.org/officeDocument/2006/relationships/hyperlink" Target="https://www.youtube.com/@USEmbassyMozambique" TargetMode="External"/><Relationship Id="rId111" Type="http://schemas.openxmlformats.org/officeDocument/2006/relationships/hyperlink" Target="https://x.com/USEmbassyMoz" TargetMode="Externa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facebook.com/usembassykolonia/" TargetMode="External"/><Relationship Id="rId42" Type="http://schemas.openxmlformats.org/officeDocument/2006/relationships/hyperlink" Target="https://x.com/USEmbassyFSM" TargetMode="External"/><Relationship Id="rId41" Type="http://schemas.openxmlformats.org/officeDocument/2006/relationships/hyperlink" Target="https://www.flickr.com/photos/usembassykolonia/" TargetMode="External"/><Relationship Id="rId44" Type="http://schemas.openxmlformats.org/officeDocument/2006/relationships/hyperlink" Target="https://www.facebook.com/usembassysuva/" TargetMode="External"/><Relationship Id="rId43" Type="http://schemas.openxmlformats.org/officeDocument/2006/relationships/hyperlink" Target="https://x.com/USAmbSuva" TargetMode="External"/><Relationship Id="rId46" Type="http://schemas.openxmlformats.org/officeDocument/2006/relationships/hyperlink" Target="https://www.instagram.com/usembassysuva" TargetMode="External"/><Relationship Id="rId45" Type="http://schemas.openxmlformats.org/officeDocument/2006/relationships/hyperlink" Target="https://www.flickr.com/photos/167418767@N06/" TargetMode="External"/><Relationship Id="rId48" Type="http://schemas.openxmlformats.org/officeDocument/2006/relationships/hyperlink" Target="https://youtube.com/@usembassyfiji" TargetMode="External"/><Relationship Id="rId187" Type="http://schemas.openxmlformats.org/officeDocument/2006/relationships/drawing" Target="../drawings/drawing3.xml"/><Relationship Id="rId47" Type="http://schemas.openxmlformats.org/officeDocument/2006/relationships/hyperlink" Target="https://x.com/USEmbassySuva" TargetMode="External"/><Relationship Id="rId186" Type="http://schemas.openxmlformats.org/officeDocument/2006/relationships/hyperlink" Target="https://zalo.me/usconsulate" TargetMode="External"/><Relationship Id="rId185" Type="http://schemas.openxmlformats.org/officeDocument/2006/relationships/hyperlink" Target="https://youtube.com/user/achanoi" TargetMode="External"/><Relationship Id="rId49" Type="http://schemas.openxmlformats.org/officeDocument/2006/relationships/hyperlink" Target="https://www.facebook.com/USAinHKMacau/" TargetMode="External"/><Relationship Id="rId184" Type="http://schemas.openxmlformats.org/officeDocument/2006/relationships/hyperlink" Target="https://www.instagram.com/usembassyvietnam/" TargetMode="External"/><Relationship Id="rId31" Type="http://schemas.openxmlformats.org/officeDocument/2006/relationships/hyperlink" Target="https://weibo.com/u/3216945711" TargetMode="External"/><Relationship Id="rId30" Type="http://schemas.openxmlformats.org/officeDocument/2006/relationships/hyperlink" Target="https://x.com/USCGGuangzhou" TargetMode="External"/><Relationship Id="rId33" Type="http://schemas.openxmlformats.org/officeDocument/2006/relationships/hyperlink" Target="https://www.weibo.com/shenyangconsulate/" TargetMode="External"/><Relationship Id="rId183" Type="http://schemas.openxmlformats.org/officeDocument/2006/relationships/hyperlink" Target="https://www.flickr.com/photos/achanoi" TargetMode="External"/><Relationship Id="rId32" Type="http://schemas.openxmlformats.org/officeDocument/2006/relationships/hyperlink" Target="https://x.com/USCGShanghai" TargetMode="External"/><Relationship Id="rId182" Type="http://schemas.openxmlformats.org/officeDocument/2006/relationships/hyperlink" Target="https://www.facebook.com/usembassyhanoi/" TargetMode="External"/><Relationship Id="rId35" Type="http://schemas.openxmlformats.org/officeDocument/2006/relationships/hyperlink" Target="https://i.youku.com/i/UMjkxNjcxNDA4MA==" TargetMode="External"/><Relationship Id="rId181" Type="http://schemas.openxmlformats.org/officeDocument/2006/relationships/hyperlink" Target="https://youtube.com/user/usconsulatehcm" TargetMode="External"/><Relationship Id="rId34" Type="http://schemas.openxmlformats.org/officeDocument/2006/relationships/hyperlink" Target="https://weibo.com/usconsulatewuhan" TargetMode="External"/><Relationship Id="rId180" Type="http://schemas.openxmlformats.org/officeDocument/2006/relationships/hyperlink" Target="https://www.flickr.com/photos/usconsulatehcm/" TargetMode="External"/><Relationship Id="rId37" Type="http://schemas.openxmlformats.org/officeDocument/2006/relationships/hyperlink" Target="https://x.com/USA_China_Talk" TargetMode="External"/><Relationship Id="rId176" Type="http://schemas.openxmlformats.org/officeDocument/2006/relationships/hyperlink" Target="https://www.linkedin.com/company/usapec2023/" TargetMode="External"/><Relationship Id="rId36" Type="http://schemas.openxmlformats.org/officeDocument/2006/relationships/hyperlink" Target="https://www.flickr.com/photos/44740126@N07/sets/" TargetMode="External"/><Relationship Id="rId175" Type="http://schemas.openxmlformats.org/officeDocument/2006/relationships/hyperlink" Target="https://www.facebook.com/usembassynukualofa" TargetMode="External"/><Relationship Id="rId39" Type="http://schemas.openxmlformats.org/officeDocument/2006/relationships/hyperlink" Target="https://www.youku.com/profile/index/?spm=a2h0c.8166622.PhoneSokuPgc_1.dportrait&amp;uid=UMTI2MjUzNTU2" TargetMode="External"/><Relationship Id="rId174" Type="http://schemas.openxmlformats.org/officeDocument/2006/relationships/hyperlink" Target="https://x.com/USEmbassyDili" TargetMode="External"/><Relationship Id="rId38" Type="http://schemas.openxmlformats.org/officeDocument/2006/relationships/hyperlink" Target="https://weibo.com/usembassy" TargetMode="External"/><Relationship Id="rId173" Type="http://schemas.openxmlformats.org/officeDocument/2006/relationships/hyperlink" Target="https://www.facebook.com/USEmbassyDili/" TargetMode="External"/><Relationship Id="rId179" Type="http://schemas.openxmlformats.org/officeDocument/2006/relationships/hyperlink" Target="https://www.facebook.com/USConsulateHCMC/" TargetMode="External"/><Relationship Id="rId178" Type="http://schemas.openxmlformats.org/officeDocument/2006/relationships/hyperlink" Target="https://www.facebook.com/usembassyvanuatu" TargetMode="External"/><Relationship Id="rId177" Type="http://schemas.openxmlformats.org/officeDocument/2006/relationships/hyperlink" Target="https://x.com/USAsiaPacific" TargetMode="External"/><Relationship Id="rId20" Type="http://schemas.openxmlformats.org/officeDocument/2006/relationships/hyperlink" Target="https://x.com/USEmbassyBurma" TargetMode="External"/><Relationship Id="rId22" Type="http://schemas.openxmlformats.org/officeDocument/2006/relationships/hyperlink" Target="https://www.facebook.com/consularrangoon" TargetMode="External"/><Relationship Id="rId21" Type="http://schemas.openxmlformats.org/officeDocument/2006/relationships/hyperlink" Target="https://x.com/ACSRangoon" TargetMode="External"/><Relationship Id="rId24" Type="http://schemas.openxmlformats.org/officeDocument/2006/relationships/hyperlink" Target="https://www.facebook.com/us.embassy.phnom.penh/" TargetMode="External"/><Relationship Id="rId23" Type="http://schemas.openxmlformats.org/officeDocument/2006/relationships/hyperlink" Target="https://x.com/USAmbCambodia" TargetMode="External"/><Relationship Id="rId26" Type="http://schemas.openxmlformats.org/officeDocument/2006/relationships/hyperlink" Target="https://www.instagram.com/usembphnompenh" TargetMode="External"/><Relationship Id="rId25" Type="http://schemas.openxmlformats.org/officeDocument/2006/relationships/hyperlink" Target="https://www.flickr.com/photos/usembassyphnompenh/albums" TargetMode="External"/><Relationship Id="rId28" Type="http://schemas.openxmlformats.org/officeDocument/2006/relationships/hyperlink" Target="https://x.com/USAmbChina/" TargetMode="External"/><Relationship Id="rId27" Type="http://schemas.openxmlformats.org/officeDocument/2006/relationships/hyperlink" Target="https://x.com/USEmbPhnomPenh" TargetMode="External"/><Relationship Id="rId29" Type="http://schemas.openxmlformats.org/officeDocument/2006/relationships/hyperlink" Target="https://weibo.com/gzpas" TargetMode="External"/><Relationship Id="rId11" Type="http://schemas.openxmlformats.org/officeDocument/2006/relationships/hyperlink" Target="https://x.com/USEmbAustralia" TargetMode="External"/><Relationship Id="rId10" Type="http://schemas.openxmlformats.org/officeDocument/2006/relationships/hyperlink" Target="https://www.linkedin.com/company/us-embassy-australia/" TargetMode="External"/><Relationship Id="rId13" Type="http://schemas.openxmlformats.org/officeDocument/2006/relationships/hyperlink" Target="https://www.facebook.com/usembassybsb/" TargetMode="External"/><Relationship Id="rId12" Type="http://schemas.openxmlformats.org/officeDocument/2006/relationships/hyperlink" Target="https://youtube.com/user/USEmbassyCanberra" TargetMode="External"/><Relationship Id="rId15" Type="http://schemas.openxmlformats.org/officeDocument/2006/relationships/hyperlink" Target="https://x.com/USEmbassyBSB" TargetMode="External"/><Relationship Id="rId14" Type="http://schemas.openxmlformats.org/officeDocument/2006/relationships/hyperlink" Target="https://www.instagram.com/usembassybsb" TargetMode="External"/><Relationship Id="rId17" Type="http://schemas.openxmlformats.org/officeDocument/2006/relationships/hyperlink" Target="https://www.facebook.com/usembassy.rangoon/" TargetMode="External"/><Relationship Id="rId16" Type="http://schemas.openxmlformats.org/officeDocument/2006/relationships/hyperlink" Target="https://youtube.com/@usembassybsb" TargetMode="External"/><Relationship Id="rId19" Type="http://schemas.openxmlformats.org/officeDocument/2006/relationships/hyperlink" Target="https://www.linkedin.com/company/u-s-embassy-myanmar/about/" TargetMode="External"/><Relationship Id="rId18" Type="http://schemas.openxmlformats.org/officeDocument/2006/relationships/hyperlink" Target="https://www.instagram.com/usembassymm" TargetMode="External"/><Relationship Id="rId84" Type="http://schemas.openxmlformats.org/officeDocument/2006/relationships/hyperlink" Target="https://www.instagram.com/usconsfukuoka/" TargetMode="External"/><Relationship Id="rId83" Type="http://schemas.openxmlformats.org/officeDocument/2006/relationships/hyperlink" Target="https://www.facebook.com/USConsulateFukuoka/" TargetMode="External"/><Relationship Id="rId86" Type="http://schemas.openxmlformats.org/officeDocument/2006/relationships/hyperlink" Target="https://www.facebook.com/USConsNagoya" TargetMode="External"/><Relationship Id="rId85" Type="http://schemas.openxmlformats.org/officeDocument/2006/relationships/hyperlink" Target="https://x.com/USConsFukuoka" TargetMode="External"/><Relationship Id="rId88" Type="http://schemas.openxmlformats.org/officeDocument/2006/relationships/hyperlink" Target="https://x.com/USConsNagoya" TargetMode="External"/><Relationship Id="rId150" Type="http://schemas.openxmlformats.org/officeDocument/2006/relationships/hyperlink" Target="https://www.facebook.com/usembassyseoul/" TargetMode="External"/><Relationship Id="rId87" Type="http://schemas.openxmlformats.org/officeDocument/2006/relationships/hyperlink" Target="https://www.instagram.com/usconsnagoya/" TargetMode="External"/><Relationship Id="rId89" Type="http://schemas.openxmlformats.org/officeDocument/2006/relationships/hyperlink" Target="https://www.facebook.com/U.S.ConsulateGeneralNaha/" TargetMode="External"/><Relationship Id="rId80" Type="http://schemas.openxmlformats.org/officeDocument/2006/relationships/hyperlink" Target="https://www.instagram.com/usambjapan/" TargetMode="External"/><Relationship Id="rId82" Type="http://schemas.openxmlformats.org/officeDocument/2006/relationships/hyperlink" Target="https://www.threads.net/@usambjapan" TargetMode="External"/><Relationship Id="rId81" Type="http://schemas.openxmlformats.org/officeDocument/2006/relationships/hyperlink" Target="https://x.com/usambjapan" TargetMode="External"/><Relationship Id="rId1" Type="http://schemas.openxmlformats.org/officeDocument/2006/relationships/hyperlink" Target="https://www.facebook.com/USConsulateMelbourne/" TargetMode="External"/><Relationship Id="rId2" Type="http://schemas.openxmlformats.org/officeDocument/2006/relationships/hyperlink" Target="https://www.instagram.com/usconsulatemelbourne/" TargetMode="External"/><Relationship Id="rId3" Type="http://schemas.openxmlformats.org/officeDocument/2006/relationships/hyperlink" Target="https://www.facebook.com/USConsulatePerth/" TargetMode="External"/><Relationship Id="rId149" Type="http://schemas.openxmlformats.org/officeDocument/2006/relationships/hyperlink" Target="https://x.com/USAmbROK" TargetMode="External"/><Relationship Id="rId4" Type="http://schemas.openxmlformats.org/officeDocument/2006/relationships/hyperlink" Target="https://www.instagram.com/usconsulateperth/" TargetMode="External"/><Relationship Id="rId148" Type="http://schemas.openxmlformats.org/officeDocument/2006/relationships/hyperlink" Target="https://www.flickr.com/photos/usembassyhoniara/" TargetMode="External"/><Relationship Id="rId9" Type="http://schemas.openxmlformats.org/officeDocument/2006/relationships/hyperlink" Target="https://www.instagram.com/usembassyaustralia/" TargetMode="External"/><Relationship Id="rId143" Type="http://schemas.openxmlformats.org/officeDocument/2006/relationships/hyperlink" Target="https://x.com/USEmbassySG" TargetMode="External"/><Relationship Id="rId142" Type="http://schemas.openxmlformats.org/officeDocument/2006/relationships/hyperlink" Target="https://www.instagram.com/usembassysingapore" TargetMode="External"/><Relationship Id="rId141" Type="http://schemas.openxmlformats.org/officeDocument/2006/relationships/hyperlink" Target="https://www.facebook.com/USEmbassySingapore/" TargetMode="External"/><Relationship Id="rId140" Type="http://schemas.openxmlformats.org/officeDocument/2006/relationships/hyperlink" Target="https://x.com/USAmbSG" TargetMode="External"/><Relationship Id="rId5" Type="http://schemas.openxmlformats.org/officeDocument/2006/relationships/hyperlink" Target="https://www.facebook.com/USConsulateSydney/" TargetMode="External"/><Relationship Id="rId147" Type="http://schemas.openxmlformats.org/officeDocument/2006/relationships/hyperlink" Target="https://x.com/USEmbHoniara" TargetMode="External"/><Relationship Id="rId6" Type="http://schemas.openxmlformats.org/officeDocument/2006/relationships/hyperlink" Target="https://www.instagram.com/usconsulatesydney/" TargetMode="External"/><Relationship Id="rId146" Type="http://schemas.openxmlformats.org/officeDocument/2006/relationships/hyperlink" Target="https://www.facebook.com/usembassyhoniara/" TargetMode="External"/><Relationship Id="rId7" Type="http://schemas.openxmlformats.org/officeDocument/2006/relationships/hyperlink" Target="https://www.facebook.com/USEmbassyAustralia/" TargetMode="External"/><Relationship Id="rId145" Type="http://schemas.openxmlformats.org/officeDocument/2006/relationships/hyperlink" Target="https://youtube.com/user/singaporeusembassy" TargetMode="External"/><Relationship Id="rId8" Type="http://schemas.openxmlformats.org/officeDocument/2006/relationships/hyperlink" Target="https://www.flickr.com/photos/usembassyaustralia/" TargetMode="External"/><Relationship Id="rId144" Type="http://schemas.openxmlformats.org/officeDocument/2006/relationships/hyperlink" Target="https://www.linkedin.com/company/usembassysingapore/" TargetMode="External"/><Relationship Id="rId73" Type="http://schemas.openxmlformats.org/officeDocument/2006/relationships/hyperlink" Target="https://www.facebook.com/yseali/" TargetMode="External"/><Relationship Id="rId72" Type="http://schemas.openxmlformats.org/officeDocument/2006/relationships/hyperlink" Target="https://linkedin.com/company/usmission2asean" TargetMode="External"/><Relationship Id="rId75" Type="http://schemas.openxmlformats.org/officeDocument/2006/relationships/hyperlink" Target="https://www.instagram.com/yseali_official" TargetMode="External"/><Relationship Id="rId74" Type="http://schemas.openxmlformats.org/officeDocument/2006/relationships/hyperlink" Target="https://www.flickr.com/photos/yseali/" TargetMode="External"/><Relationship Id="rId77" Type="http://schemas.openxmlformats.org/officeDocument/2006/relationships/hyperlink" Target="https://x.com/yseali" TargetMode="External"/><Relationship Id="rId76" Type="http://schemas.openxmlformats.org/officeDocument/2006/relationships/hyperlink" Target="https://youngsoutheastasianleaders.tumblr.com/" TargetMode="External"/><Relationship Id="rId79" Type="http://schemas.openxmlformats.org/officeDocument/2006/relationships/hyperlink" Target="https://x.com/ACSTokyo" TargetMode="External"/><Relationship Id="rId78" Type="http://schemas.openxmlformats.org/officeDocument/2006/relationships/hyperlink" Target="https://facebook.com/ACSTokyo" TargetMode="External"/><Relationship Id="rId71" Type="http://schemas.openxmlformats.org/officeDocument/2006/relationships/hyperlink" Target="https://youtube.com/user/USMission2ASEAN" TargetMode="External"/><Relationship Id="rId70" Type="http://schemas.openxmlformats.org/officeDocument/2006/relationships/hyperlink" Target="https://x.com/USMission2ASEAN" TargetMode="External"/><Relationship Id="rId139" Type="http://schemas.openxmlformats.org/officeDocument/2006/relationships/hyperlink" Target="https://www.threads.net/@usambsg" TargetMode="External"/><Relationship Id="rId138" Type="http://schemas.openxmlformats.org/officeDocument/2006/relationships/hyperlink" Target="https://www.instagram.com/usambsg/" TargetMode="External"/><Relationship Id="rId137" Type="http://schemas.openxmlformats.org/officeDocument/2006/relationships/hyperlink" Target="https://x.com/usembassysamoa" TargetMode="External"/><Relationship Id="rId132" Type="http://schemas.openxmlformats.org/officeDocument/2006/relationships/hyperlink" Target="https://www.linkedin.com/company/usembassyph/" TargetMode="External"/><Relationship Id="rId131" Type="http://schemas.openxmlformats.org/officeDocument/2006/relationships/hyperlink" Target="https://www.instagram.com/usembassyph" TargetMode="External"/><Relationship Id="rId130" Type="http://schemas.openxmlformats.org/officeDocument/2006/relationships/hyperlink" Target="https://www.facebook.com/USEmbassyPH/" TargetMode="External"/><Relationship Id="rId136" Type="http://schemas.openxmlformats.org/officeDocument/2006/relationships/hyperlink" Target="https://instagram.com/usembassysamoa" TargetMode="External"/><Relationship Id="rId135" Type="http://schemas.openxmlformats.org/officeDocument/2006/relationships/hyperlink" Target="https://www.facebook.com/samoa.usembassy/" TargetMode="External"/><Relationship Id="rId134" Type="http://schemas.openxmlformats.org/officeDocument/2006/relationships/hyperlink" Target="https://x.com/usembassyph" TargetMode="External"/><Relationship Id="rId133" Type="http://schemas.openxmlformats.org/officeDocument/2006/relationships/hyperlink" Target="https://www.youtube.com/@USEmbassyPH/" TargetMode="External"/><Relationship Id="rId62" Type="http://schemas.openxmlformats.org/officeDocument/2006/relationships/hyperlink" Target="https://www.flickr.com/photos/usembassyjakarta/" TargetMode="External"/><Relationship Id="rId61" Type="http://schemas.openxmlformats.org/officeDocument/2006/relationships/hyperlink" Target="https://www.facebook.com/usembassyjkt/" TargetMode="External"/><Relationship Id="rId64" Type="http://schemas.openxmlformats.org/officeDocument/2006/relationships/hyperlink" Target="https://www.linkedin.com/showcase/usembassyjkt/" TargetMode="External"/><Relationship Id="rId63" Type="http://schemas.openxmlformats.org/officeDocument/2006/relationships/hyperlink" Target="https://www.instagram.com/usembassyjkt" TargetMode="External"/><Relationship Id="rId66" Type="http://schemas.openxmlformats.org/officeDocument/2006/relationships/hyperlink" Target="https://youtube.com/user/usembassyjakarta" TargetMode="External"/><Relationship Id="rId172" Type="http://schemas.openxmlformats.org/officeDocument/2006/relationships/hyperlink" Target="https://youtube.com/user/USEmbassyBangkok" TargetMode="External"/><Relationship Id="rId65" Type="http://schemas.openxmlformats.org/officeDocument/2006/relationships/hyperlink" Target="https://x.com/usembassyjkt" TargetMode="External"/><Relationship Id="rId171" Type="http://schemas.openxmlformats.org/officeDocument/2006/relationships/hyperlink" Target="https://x.com/USEmbassyBKK" TargetMode="External"/><Relationship Id="rId68" Type="http://schemas.openxmlformats.org/officeDocument/2006/relationships/hyperlink" Target="https://www.flickr.com/photos/usmission2asean/" TargetMode="External"/><Relationship Id="rId170" Type="http://schemas.openxmlformats.org/officeDocument/2006/relationships/hyperlink" Target="https://www.instagram.com/usembassybkk" TargetMode="External"/><Relationship Id="rId67" Type="http://schemas.openxmlformats.org/officeDocument/2006/relationships/hyperlink" Target="https://www.facebook.com/USMission2ASEAN/" TargetMode="External"/><Relationship Id="rId60" Type="http://schemas.openxmlformats.org/officeDocument/2006/relationships/hyperlink" Target="https://www.flickr.com/people/usconsulategeneralsurabaya/" TargetMode="External"/><Relationship Id="rId165" Type="http://schemas.openxmlformats.org/officeDocument/2006/relationships/hyperlink" Target="https://www.instagram.com/usconschiangmai" TargetMode="External"/><Relationship Id="rId69" Type="http://schemas.openxmlformats.org/officeDocument/2006/relationships/hyperlink" Target="https://www.instagram.com/usmission2asean" TargetMode="External"/><Relationship Id="rId164" Type="http://schemas.openxmlformats.org/officeDocument/2006/relationships/hyperlink" Target="https://www.facebook.com/chiangmai.usconsulate/" TargetMode="External"/><Relationship Id="rId163" Type="http://schemas.openxmlformats.org/officeDocument/2006/relationships/hyperlink" Target="https://x.com/usambthailand" TargetMode="External"/><Relationship Id="rId162" Type="http://schemas.openxmlformats.org/officeDocument/2006/relationships/hyperlink" Target="https://www.whatsapp.com/channel/0029VakoUfF6LwHlZl2K7j0j" TargetMode="External"/><Relationship Id="rId169" Type="http://schemas.openxmlformats.org/officeDocument/2006/relationships/hyperlink" Target="https://www.flickr.com/photos/usembassybkk" TargetMode="External"/><Relationship Id="rId168" Type="http://schemas.openxmlformats.org/officeDocument/2006/relationships/hyperlink" Target="https://www.facebook.com/usembassybkk/" TargetMode="External"/><Relationship Id="rId167" Type="http://schemas.openxmlformats.org/officeDocument/2006/relationships/hyperlink" Target="https://youtube.com/user/USConsulateChiangmai" TargetMode="External"/><Relationship Id="rId166" Type="http://schemas.openxmlformats.org/officeDocument/2006/relationships/hyperlink" Target="https://x.com/USConsChiangMai" TargetMode="External"/><Relationship Id="rId51" Type="http://schemas.openxmlformats.org/officeDocument/2006/relationships/hyperlink" Target="https://x.com/USAinHKMacau" TargetMode="External"/><Relationship Id="rId50" Type="http://schemas.openxmlformats.org/officeDocument/2006/relationships/hyperlink" Target="https://www.instagram.com/usainhkmacau" TargetMode="External"/><Relationship Id="rId53" Type="http://schemas.openxmlformats.org/officeDocument/2006/relationships/hyperlink" Target="https://x.com/USAmbIndonesia" TargetMode="External"/><Relationship Id="rId52" Type="http://schemas.openxmlformats.org/officeDocument/2006/relationships/hyperlink" Target="https://www.youtube.com/@USConsulateHongKong/" TargetMode="External"/><Relationship Id="rId55" Type="http://schemas.openxmlformats.org/officeDocument/2006/relationships/hyperlink" Target="https://www.instagram.com/konsulatasmdn" TargetMode="External"/><Relationship Id="rId161" Type="http://schemas.openxmlformats.org/officeDocument/2006/relationships/hyperlink" Target="https://www.facebook.com/acsbkk/" TargetMode="External"/><Relationship Id="rId54" Type="http://schemas.openxmlformats.org/officeDocument/2006/relationships/hyperlink" Target="https://www.facebook.com/KonsulatASMdn/" TargetMode="External"/><Relationship Id="rId160" Type="http://schemas.openxmlformats.org/officeDocument/2006/relationships/hyperlink" Target="https://www.instagram.com/ait_kaohsiung/" TargetMode="External"/><Relationship Id="rId57" Type="http://schemas.openxmlformats.org/officeDocument/2006/relationships/hyperlink" Target="https://www.instagram.com/uscongensby" TargetMode="External"/><Relationship Id="rId56" Type="http://schemas.openxmlformats.org/officeDocument/2006/relationships/hyperlink" Target="https://www.facebook.com/uscongensby/" TargetMode="External"/><Relationship Id="rId159" Type="http://schemas.openxmlformats.org/officeDocument/2006/relationships/hyperlink" Target="https://www.facebook.com/ILoveAITK/" TargetMode="External"/><Relationship Id="rId59" Type="http://schemas.openxmlformats.org/officeDocument/2006/relationships/hyperlink" Target="https://www.youtube.com/user/USConGenSurabaya" TargetMode="External"/><Relationship Id="rId154" Type="http://schemas.openxmlformats.org/officeDocument/2006/relationships/hyperlink" Target="https://youtube.com/user/USEmbassySeoul" TargetMode="External"/><Relationship Id="rId58" Type="http://schemas.openxmlformats.org/officeDocument/2006/relationships/hyperlink" Target="https://x.com/USConGenSby" TargetMode="External"/><Relationship Id="rId153" Type="http://schemas.openxmlformats.org/officeDocument/2006/relationships/hyperlink" Target="https://x.com/USEmbassySeoul" TargetMode="External"/><Relationship Id="rId152" Type="http://schemas.openxmlformats.org/officeDocument/2006/relationships/hyperlink" Target="https://www.instagram.com/usembassyseoul" TargetMode="External"/><Relationship Id="rId151" Type="http://schemas.openxmlformats.org/officeDocument/2006/relationships/hyperlink" Target="https://www.flickr.com/photos/usembassyseoul" TargetMode="External"/><Relationship Id="rId158" Type="http://schemas.openxmlformats.org/officeDocument/2006/relationships/hyperlink" Target="https://youtube.com/@AmericanInstituteTW" TargetMode="External"/><Relationship Id="rId157" Type="http://schemas.openxmlformats.org/officeDocument/2006/relationships/hyperlink" Target="https://www.instagram.com/ait_taipei/" TargetMode="External"/><Relationship Id="rId156" Type="http://schemas.openxmlformats.org/officeDocument/2006/relationships/hyperlink" Target="https://www.flickr.com/photos/ait_taipei/" TargetMode="External"/><Relationship Id="rId155" Type="http://schemas.openxmlformats.org/officeDocument/2006/relationships/hyperlink" Target="https://www.facebook.com/AIT.Social.Media/" TargetMode="External"/><Relationship Id="rId107" Type="http://schemas.openxmlformats.org/officeDocument/2006/relationships/hyperlink" Target="https://www.flickr.com/photos/usembassykl/" TargetMode="External"/><Relationship Id="rId106" Type="http://schemas.openxmlformats.org/officeDocument/2006/relationships/hyperlink" Target="https://www.facebook.com/usembassykl/" TargetMode="External"/><Relationship Id="rId105" Type="http://schemas.openxmlformats.org/officeDocument/2006/relationships/hyperlink" Target="https://youtube.com/@USEmbassyVientiane" TargetMode="External"/><Relationship Id="rId104" Type="http://schemas.openxmlformats.org/officeDocument/2006/relationships/hyperlink" Target="https://www.facebook.com/usembassyvte/" TargetMode="External"/><Relationship Id="rId109" Type="http://schemas.openxmlformats.org/officeDocument/2006/relationships/hyperlink" Target="https://www.linkedin.com/company/usembassykl/" TargetMode="External"/><Relationship Id="rId108" Type="http://schemas.openxmlformats.org/officeDocument/2006/relationships/hyperlink" Target="https://www.instagram.com/usembassykl" TargetMode="External"/><Relationship Id="rId103" Type="http://schemas.openxmlformats.org/officeDocument/2006/relationships/hyperlink" Target="https://x.com/USVisaTokyo" TargetMode="External"/><Relationship Id="rId102" Type="http://schemas.openxmlformats.org/officeDocument/2006/relationships/hyperlink" Target="https://www.youtube.com/user/usembassytokyo" TargetMode="External"/><Relationship Id="rId101" Type="http://schemas.openxmlformats.org/officeDocument/2006/relationships/hyperlink" Target="https://x.com/usembassytokyo" TargetMode="External"/><Relationship Id="rId100" Type="http://schemas.openxmlformats.org/officeDocument/2006/relationships/hyperlink" Target="https://www.instagram.com/usembassytokyo/" TargetMode="External"/><Relationship Id="rId129" Type="http://schemas.openxmlformats.org/officeDocument/2006/relationships/hyperlink" Target="https://x.com/USAmbPH" TargetMode="External"/><Relationship Id="rId128" Type="http://schemas.openxmlformats.org/officeDocument/2006/relationships/hyperlink" Target="https://x.com/USEmbassyPOM" TargetMode="External"/><Relationship Id="rId127" Type="http://schemas.openxmlformats.org/officeDocument/2006/relationships/hyperlink" Target="https://www.facebook.com/usembassyportmoresby/" TargetMode="External"/><Relationship Id="rId126" Type="http://schemas.openxmlformats.org/officeDocument/2006/relationships/hyperlink" Target="https://www.facebook.com/usembassykoror/" TargetMode="External"/><Relationship Id="rId121" Type="http://schemas.openxmlformats.org/officeDocument/2006/relationships/hyperlink" Target="https://www.facebook.com/newzealand.usembassy/" TargetMode="External"/><Relationship Id="rId120" Type="http://schemas.openxmlformats.org/officeDocument/2006/relationships/hyperlink" Target="https://x.com/USAmbNZ" TargetMode="External"/><Relationship Id="rId125" Type="http://schemas.openxmlformats.org/officeDocument/2006/relationships/hyperlink" Target="https://youtube.com/@usembassynewzealand" TargetMode="External"/><Relationship Id="rId124" Type="http://schemas.openxmlformats.org/officeDocument/2006/relationships/hyperlink" Target="https://x.com/usembassynz" TargetMode="External"/><Relationship Id="rId123" Type="http://schemas.openxmlformats.org/officeDocument/2006/relationships/hyperlink" Target="https://www.instagram.com/usembassynz" TargetMode="External"/><Relationship Id="rId122" Type="http://schemas.openxmlformats.org/officeDocument/2006/relationships/hyperlink" Target="https://www.flickr.com/photos/us_embassy_newzealand/" TargetMode="External"/><Relationship Id="rId95" Type="http://schemas.openxmlformats.org/officeDocument/2006/relationships/hyperlink" Target="https://x.com/USConsOsakaKobe" TargetMode="External"/><Relationship Id="rId94" Type="http://schemas.openxmlformats.org/officeDocument/2006/relationships/hyperlink" Target="https://www.instagram.com/usconsosakakobe/" TargetMode="External"/><Relationship Id="rId97" Type="http://schemas.openxmlformats.org/officeDocument/2006/relationships/hyperlink" Target="https://x.com/USConsSapporo" TargetMode="External"/><Relationship Id="rId96" Type="http://schemas.openxmlformats.org/officeDocument/2006/relationships/hyperlink" Target="https://www.facebook.com/USConGenSapporo/" TargetMode="External"/><Relationship Id="rId99" Type="http://schemas.openxmlformats.org/officeDocument/2006/relationships/hyperlink" Target="https://www.flickr.com/photos/usembassytokyo/" TargetMode="External"/><Relationship Id="rId98" Type="http://schemas.openxmlformats.org/officeDocument/2006/relationships/hyperlink" Target="https://www.facebook.com/usembassytokyo/" TargetMode="External"/><Relationship Id="rId91" Type="http://schemas.openxmlformats.org/officeDocument/2006/relationships/hyperlink" Target="https://x.com/USConsulateNaha" TargetMode="External"/><Relationship Id="rId90" Type="http://schemas.openxmlformats.org/officeDocument/2006/relationships/hyperlink" Target="https://www.instagram.com/usconsulatenaha/" TargetMode="External"/><Relationship Id="rId93" Type="http://schemas.openxmlformats.org/officeDocument/2006/relationships/hyperlink" Target="https://www.facebook.com/USConGenOsaka/" TargetMode="External"/><Relationship Id="rId92" Type="http://schemas.openxmlformats.org/officeDocument/2006/relationships/hyperlink" Target="https://www.facebook.com/naha.usconsulate/" TargetMode="External"/><Relationship Id="rId118" Type="http://schemas.openxmlformats.org/officeDocument/2006/relationships/hyperlink" Target="https://x.com/usembmongolia" TargetMode="External"/><Relationship Id="rId117" Type="http://schemas.openxmlformats.org/officeDocument/2006/relationships/hyperlink" Target="https://www.instagram.com/usembmongolia" TargetMode="External"/><Relationship Id="rId116" Type="http://schemas.openxmlformats.org/officeDocument/2006/relationships/hyperlink" Target="https://www.facebook.com/USEmbMongolia/" TargetMode="External"/><Relationship Id="rId115" Type="http://schemas.openxmlformats.org/officeDocument/2006/relationships/hyperlink" Target="https://x.com/USAmbMongolia" TargetMode="External"/><Relationship Id="rId119" Type="http://schemas.openxmlformats.org/officeDocument/2006/relationships/hyperlink" Target="https://youtube.com/@USAinMongolia" TargetMode="External"/><Relationship Id="rId110" Type="http://schemas.openxmlformats.org/officeDocument/2006/relationships/hyperlink" Target="https://x.com/usembassykl" TargetMode="External"/><Relationship Id="rId114" Type="http://schemas.openxmlformats.org/officeDocument/2006/relationships/hyperlink" Target="https://www.instagram.com/usembassymajuro/" TargetMode="External"/><Relationship Id="rId113" Type="http://schemas.openxmlformats.org/officeDocument/2006/relationships/hyperlink" Target="https://www.facebook.com/usembassymajuro/" TargetMode="External"/><Relationship Id="rId112" Type="http://schemas.openxmlformats.org/officeDocument/2006/relationships/hyperlink" Target="https://youtube.com/@usembassykl" TargetMode="External"/><Relationship Id="rId111" Type="http://schemas.openxmlformats.org/officeDocument/2006/relationships/hyperlink" Target="https://x.com/USAmbKL" TargetMode="External"/></Relationships>
</file>

<file path=xl/worksheets/_rels/sheet4.xml.rels><?xml version="1.0" encoding="UTF-8" standalone="yes"?><Relationships xmlns="http://schemas.openxmlformats.org/package/2006/relationships"><Relationship Id="rId40" Type="http://schemas.openxmlformats.org/officeDocument/2006/relationships/hyperlink" Target="https://x.com/usambnato" TargetMode="External"/><Relationship Id="rId190" Type="http://schemas.openxmlformats.org/officeDocument/2006/relationships/hyperlink" Target="https://x.com/USEmbPristina" TargetMode="External"/><Relationship Id="rId42" Type="http://schemas.openxmlformats.org/officeDocument/2006/relationships/hyperlink" Target="https://www.facebook.com/useubrussels/" TargetMode="External"/><Relationship Id="rId41" Type="http://schemas.openxmlformats.org/officeDocument/2006/relationships/hyperlink" Target="https://www.youtube.com/@USNATO" TargetMode="External"/><Relationship Id="rId44" Type="http://schemas.openxmlformats.org/officeDocument/2006/relationships/hyperlink" Target="https://x.com/US2EU" TargetMode="External"/><Relationship Id="rId194" Type="http://schemas.openxmlformats.org/officeDocument/2006/relationships/hyperlink" Target="https://www.linkedin.com/company/u-s-embassy-riga/" TargetMode="External"/><Relationship Id="rId43" Type="http://schemas.openxmlformats.org/officeDocument/2006/relationships/hyperlink" Target="https://www.instagram.com/useu" TargetMode="External"/><Relationship Id="rId193" Type="http://schemas.openxmlformats.org/officeDocument/2006/relationships/hyperlink" Target="https://x.com/USEmbassyRiga" TargetMode="External"/><Relationship Id="rId46" Type="http://schemas.openxmlformats.org/officeDocument/2006/relationships/hyperlink" Target="https://youtube.com/user/TheUSEU" TargetMode="External"/><Relationship Id="rId192" Type="http://schemas.openxmlformats.org/officeDocument/2006/relationships/hyperlink" Target="https://www.instagram.com/usembassyriga" TargetMode="External"/><Relationship Id="rId45" Type="http://schemas.openxmlformats.org/officeDocument/2006/relationships/hyperlink" Target="https://www.linkedin.com/company/us-mission-to-the-european-union/" TargetMode="External"/><Relationship Id="rId191" Type="http://schemas.openxmlformats.org/officeDocument/2006/relationships/hyperlink" Target="https://www.facebook.com/usembassyriga/" TargetMode="External"/><Relationship Id="rId48" Type="http://schemas.openxmlformats.org/officeDocument/2006/relationships/hyperlink" Target="https://www.instagram.com/usconsulatehamilton/" TargetMode="External"/><Relationship Id="rId187" Type="http://schemas.openxmlformats.org/officeDocument/2006/relationships/hyperlink" Target="https://x.com/USAmbKosovo" TargetMode="External"/><Relationship Id="rId47" Type="http://schemas.openxmlformats.org/officeDocument/2006/relationships/hyperlink" Target="https://facebook.com/USConsulateHamilton" TargetMode="External"/><Relationship Id="rId186" Type="http://schemas.openxmlformats.org/officeDocument/2006/relationships/hyperlink" Target="https://youtube.com/user/AmbasciataUSA" TargetMode="External"/><Relationship Id="rId185" Type="http://schemas.openxmlformats.org/officeDocument/2006/relationships/hyperlink" Target="https://x.com/AmbasciataUSA" TargetMode="External"/><Relationship Id="rId49" Type="http://schemas.openxmlformats.org/officeDocument/2006/relationships/hyperlink" Target="https://x.com/USConsHamilton" TargetMode="External"/><Relationship Id="rId184" Type="http://schemas.openxmlformats.org/officeDocument/2006/relationships/hyperlink" Target="https://www.instagram.com/ambasciatausa/" TargetMode="External"/><Relationship Id="rId189" Type="http://schemas.openxmlformats.org/officeDocument/2006/relationships/hyperlink" Target="https://www.instagram.com/usembassypristina/" TargetMode="External"/><Relationship Id="rId188" Type="http://schemas.openxmlformats.org/officeDocument/2006/relationships/hyperlink" Target="https://www.facebook.com/kosovo.usembassy/" TargetMode="External"/><Relationship Id="rId31" Type="http://schemas.openxmlformats.org/officeDocument/2006/relationships/hyperlink" Target="https://x.com/USAmbEU" TargetMode="External"/><Relationship Id="rId30" Type="http://schemas.openxmlformats.org/officeDocument/2006/relationships/hyperlink" Target="https://x.com/USAmbBelgium" TargetMode="External"/><Relationship Id="rId33" Type="http://schemas.openxmlformats.org/officeDocument/2006/relationships/hyperlink" Target="https://www.instagram.com/usembassybelgium/" TargetMode="External"/><Relationship Id="rId183" Type="http://schemas.openxmlformats.org/officeDocument/2006/relationships/hyperlink" Target="https://www.facebook.com/AmbasciataUSA/871" TargetMode="External"/><Relationship Id="rId32" Type="http://schemas.openxmlformats.org/officeDocument/2006/relationships/hyperlink" Target="https://www.facebook.com/usembassybelgium/" TargetMode="External"/><Relationship Id="rId182" Type="http://schemas.openxmlformats.org/officeDocument/2006/relationships/hyperlink" Target="https://www.youtube.com/user/ConsolatoUSANapoli" TargetMode="External"/><Relationship Id="rId35" Type="http://schemas.openxmlformats.org/officeDocument/2006/relationships/hyperlink" Target="https://www.youtube.com/@usembassybrussels/" TargetMode="External"/><Relationship Id="rId181" Type="http://schemas.openxmlformats.org/officeDocument/2006/relationships/hyperlink" Target="https://x.com/USAnelSud" TargetMode="External"/><Relationship Id="rId34" Type="http://schemas.openxmlformats.org/officeDocument/2006/relationships/hyperlink" Target="https://x.com/usembbrussels" TargetMode="External"/><Relationship Id="rId180" Type="http://schemas.openxmlformats.org/officeDocument/2006/relationships/hyperlink" Target="https://www.instagram.com/usanelsud" TargetMode="External"/><Relationship Id="rId37" Type="http://schemas.openxmlformats.org/officeDocument/2006/relationships/hyperlink" Target="https://www.facebook.com/USNATO/" TargetMode="External"/><Relationship Id="rId176" Type="http://schemas.openxmlformats.org/officeDocument/2006/relationships/hyperlink" Target="https://www.linkedin.com/company/us-consulate-general-of-the-united-states-in-milan/" TargetMode="External"/><Relationship Id="rId297" Type="http://schemas.openxmlformats.org/officeDocument/2006/relationships/hyperlink" Target="https://www.instagram.com/usembassymadrid" TargetMode="External"/><Relationship Id="rId36" Type="http://schemas.openxmlformats.org/officeDocument/2006/relationships/hyperlink" Target="https://www.linkedin.com/company/us-embassy-in-belgium/" TargetMode="External"/><Relationship Id="rId175" Type="http://schemas.openxmlformats.org/officeDocument/2006/relationships/hyperlink" Target="https://www.instagram.com/usconsmilan" TargetMode="External"/><Relationship Id="rId296" Type="http://schemas.openxmlformats.org/officeDocument/2006/relationships/hyperlink" Target="https://www.facebook.com/madrid.usembassy/" TargetMode="External"/><Relationship Id="rId39" Type="http://schemas.openxmlformats.org/officeDocument/2006/relationships/hyperlink" Target="https://x.com/USNATO" TargetMode="External"/><Relationship Id="rId174" Type="http://schemas.openxmlformats.org/officeDocument/2006/relationships/hyperlink" Target="https://www.facebook.com/USConsMilan/" TargetMode="External"/><Relationship Id="rId295" Type="http://schemas.openxmlformats.org/officeDocument/2006/relationships/hyperlink" Target="https://www.youtube.com/@USConsulateBCN/videos" TargetMode="External"/><Relationship Id="rId38" Type="http://schemas.openxmlformats.org/officeDocument/2006/relationships/hyperlink" Target="https://www.instagram.com/usmissionnato" TargetMode="External"/><Relationship Id="rId173" Type="http://schemas.openxmlformats.org/officeDocument/2006/relationships/hyperlink" Target="https://x.com/uscgflorence" TargetMode="External"/><Relationship Id="rId294" Type="http://schemas.openxmlformats.org/officeDocument/2006/relationships/hyperlink" Target="https://x.com/USConsulateBCN" TargetMode="External"/><Relationship Id="rId179" Type="http://schemas.openxmlformats.org/officeDocument/2006/relationships/hyperlink" Target="https://www.facebook.com/ConsolatoUSANapoli/" TargetMode="External"/><Relationship Id="rId178" Type="http://schemas.openxmlformats.org/officeDocument/2006/relationships/hyperlink" Target="https://youtube.com/user/USConsMilan" TargetMode="External"/><Relationship Id="rId299" Type="http://schemas.openxmlformats.org/officeDocument/2006/relationships/hyperlink" Target="https://x.com/USembassyMadrid" TargetMode="External"/><Relationship Id="rId177" Type="http://schemas.openxmlformats.org/officeDocument/2006/relationships/hyperlink" Target="https://x.com/USConsMilan" TargetMode="External"/><Relationship Id="rId298" Type="http://schemas.openxmlformats.org/officeDocument/2006/relationships/hyperlink" Target="https://www.linkedin.com/company/usembassymadrid/" TargetMode="External"/><Relationship Id="rId20" Type="http://schemas.openxmlformats.org/officeDocument/2006/relationships/hyperlink" Target="https://vk.com/usosce" TargetMode="External"/><Relationship Id="rId22" Type="http://schemas.openxmlformats.org/officeDocument/2006/relationships/hyperlink" Target="https://www.facebook.com/baku.usembassy/" TargetMode="External"/><Relationship Id="rId21" Type="http://schemas.openxmlformats.org/officeDocument/2006/relationships/hyperlink" Target="https://www.youtube.com/user/usosce" TargetMode="External"/><Relationship Id="rId24" Type="http://schemas.openxmlformats.org/officeDocument/2006/relationships/hyperlink" Target="https://x.com/USEmbassyBaku" TargetMode="External"/><Relationship Id="rId23" Type="http://schemas.openxmlformats.org/officeDocument/2006/relationships/hyperlink" Target="https://www.instagram.com/usembaku/" TargetMode="External"/><Relationship Id="rId26" Type="http://schemas.openxmlformats.org/officeDocument/2006/relationships/hyperlink" Target="https://www.facebook.com/usembassy.minsk/" TargetMode="External"/><Relationship Id="rId25" Type="http://schemas.openxmlformats.org/officeDocument/2006/relationships/hyperlink" Target="https://youtube.com/user/usembassybaku" TargetMode="External"/><Relationship Id="rId28" Type="http://schemas.openxmlformats.org/officeDocument/2006/relationships/hyperlink" Target="https://x.com/USEmbBy" TargetMode="External"/><Relationship Id="rId27" Type="http://schemas.openxmlformats.org/officeDocument/2006/relationships/hyperlink" Target="https://www.instagram.com/usembby/" TargetMode="External"/><Relationship Id="rId29" Type="http://schemas.openxmlformats.org/officeDocument/2006/relationships/hyperlink" Target="https://www.youtube.com/user/MinskPAS" TargetMode="External"/><Relationship Id="rId11" Type="http://schemas.openxmlformats.org/officeDocument/2006/relationships/hyperlink" Target="https://x.com/USAmbAustria" TargetMode="External"/><Relationship Id="rId10" Type="http://schemas.openxmlformats.org/officeDocument/2006/relationships/hyperlink" Target="https://www.linkedin.com/company/usembarmenia/" TargetMode="External"/><Relationship Id="rId13" Type="http://schemas.openxmlformats.org/officeDocument/2006/relationships/hyperlink" Target="https://www.instagram.com/usembvienna" TargetMode="External"/><Relationship Id="rId12" Type="http://schemas.openxmlformats.org/officeDocument/2006/relationships/hyperlink" Target="https://www.facebook.com/USEmbVienna/" TargetMode="External"/><Relationship Id="rId15" Type="http://schemas.openxmlformats.org/officeDocument/2006/relationships/hyperlink" Target="https://x.com/usembvienna" TargetMode="External"/><Relationship Id="rId198" Type="http://schemas.openxmlformats.org/officeDocument/2006/relationships/hyperlink" Target="https://www.instagram.com/usembassyvilnius" TargetMode="External"/><Relationship Id="rId14" Type="http://schemas.openxmlformats.org/officeDocument/2006/relationships/hyperlink" Target="https://www.linkedin.com/company/us-embassy-vienna/" TargetMode="External"/><Relationship Id="rId197" Type="http://schemas.openxmlformats.org/officeDocument/2006/relationships/hyperlink" Target="https://www.facebook.com/vilnius.usembassy/" TargetMode="External"/><Relationship Id="rId17" Type="http://schemas.openxmlformats.org/officeDocument/2006/relationships/hyperlink" Target="https://www.facebook.com/USOSCE/" TargetMode="External"/><Relationship Id="rId196" Type="http://schemas.openxmlformats.org/officeDocument/2006/relationships/hyperlink" Target="https://www.instagram.com/usamblt/" TargetMode="External"/><Relationship Id="rId16" Type="http://schemas.openxmlformats.org/officeDocument/2006/relationships/hyperlink" Target="https://www.youtube.com/user/USEmbassyVienna" TargetMode="External"/><Relationship Id="rId195" Type="http://schemas.openxmlformats.org/officeDocument/2006/relationships/hyperlink" Target="https://t.me/USEmbRiga" TargetMode="External"/><Relationship Id="rId19" Type="http://schemas.openxmlformats.org/officeDocument/2006/relationships/hyperlink" Target="https://x.com/usosce" TargetMode="External"/><Relationship Id="rId18" Type="http://schemas.openxmlformats.org/officeDocument/2006/relationships/hyperlink" Target="https://x.com/USAmbOSCE" TargetMode="External"/><Relationship Id="rId199" Type="http://schemas.openxmlformats.org/officeDocument/2006/relationships/hyperlink" Target="https://www.linkedin.com/company/us-embassy-vilnius-lithuania/" TargetMode="External"/><Relationship Id="rId84" Type="http://schemas.openxmlformats.org/officeDocument/2006/relationships/hyperlink" Target="https://www.instagram.com/usembassytallinn" TargetMode="External"/><Relationship Id="rId83" Type="http://schemas.openxmlformats.org/officeDocument/2006/relationships/hyperlink" Target="https://www.facebook.com/estonia.usembassy/" TargetMode="External"/><Relationship Id="rId86" Type="http://schemas.openxmlformats.org/officeDocument/2006/relationships/hyperlink" Target="https://www.youtube.com/user/USEmbassyTallinn" TargetMode="External"/><Relationship Id="rId85" Type="http://schemas.openxmlformats.org/officeDocument/2006/relationships/hyperlink" Target="https://x.com/USEmbTallinn" TargetMode="External"/><Relationship Id="rId88" Type="http://schemas.openxmlformats.org/officeDocument/2006/relationships/hyperlink" Target="https://www.facebook.com/finland.usembassy/" TargetMode="External"/><Relationship Id="rId150" Type="http://schemas.openxmlformats.org/officeDocument/2006/relationships/hyperlink" Target="https://www.youtube.com/MosaikoGR" TargetMode="External"/><Relationship Id="rId271" Type="http://schemas.openxmlformats.org/officeDocument/2006/relationships/hyperlink" Target="https://x.com/USEmbRu" TargetMode="External"/><Relationship Id="rId87" Type="http://schemas.openxmlformats.org/officeDocument/2006/relationships/hyperlink" Target="https://www.facebook.com/estonia.usembassy.rus/" TargetMode="External"/><Relationship Id="rId270" Type="http://schemas.openxmlformats.org/officeDocument/2006/relationships/hyperlink" Target="https://t.me/USApoRusski" TargetMode="External"/><Relationship Id="rId89" Type="http://schemas.openxmlformats.org/officeDocument/2006/relationships/hyperlink" Target="https://www.instagram.com/usembfinland/" TargetMode="External"/><Relationship Id="rId80" Type="http://schemas.openxmlformats.org/officeDocument/2006/relationships/hyperlink" Target="https://x.com/usembdenmark" TargetMode="External"/><Relationship Id="rId82" Type="http://schemas.openxmlformats.org/officeDocument/2006/relationships/hyperlink" Target="https://x.com/usambestonia" TargetMode="External"/><Relationship Id="rId81" Type="http://schemas.openxmlformats.org/officeDocument/2006/relationships/hyperlink" Target="https://www.youtube.com/USEmbCPH" TargetMode="External"/><Relationship Id="rId1" Type="http://schemas.openxmlformats.org/officeDocument/2006/relationships/hyperlink" Target="https://www.facebook.com/usembassytirana/" TargetMode="External"/><Relationship Id="rId2" Type="http://schemas.openxmlformats.org/officeDocument/2006/relationships/hyperlink" Target="https://www.instagram.com/usembassytirana" TargetMode="External"/><Relationship Id="rId3" Type="http://schemas.openxmlformats.org/officeDocument/2006/relationships/hyperlink" Target="https://x.com/USEmbassyTirana" TargetMode="External"/><Relationship Id="rId149" Type="http://schemas.openxmlformats.org/officeDocument/2006/relationships/hyperlink" Target="https://x.com/USEmbassyAthens" TargetMode="External"/><Relationship Id="rId4" Type="http://schemas.openxmlformats.org/officeDocument/2006/relationships/hyperlink" Target="https://www.youtube.com/USEmbassyTirana" TargetMode="External"/><Relationship Id="rId148" Type="http://schemas.openxmlformats.org/officeDocument/2006/relationships/hyperlink" Target="https://www.instagram.com/usembassyathens/" TargetMode="External"/><Relationship Id="rId269" Type="http://schemas.openxmlformats.org/officeDocument/2006/relationships/hyperlink" Target="https://t.me/USEmbRussia" TargetMode="External"/><Relationship Id="rId9" Type="http://schemas.openxmlformats.org/officeDocument/2006/relationships/hyperlink" Target="https://www.youtube.com/@usembassyarmenia/" TargetMode="External"/><Relationship Id="rId143" Type="http://schemas.openxmlformats.org/officeDocument/2006/relationships/hyperlink" Target="https://www.linkedin.com/company/u-s-mission-germany-human-resource-recruitment/" TargetMode="External"/><Relationship Id="rId264" Type="http://schemas.openxmlformats.org/officeDocument/2006/relationships/hyperlink" Target="https://x.com/AmbasadaSUA" TargetMode="External"/><Relationship Id="rId142" Type="http://schemas.openxmlformats.org/officeDocument/2006/relationships/hyperlink" Target="https://www.instagram.com/usbotschaft" TargetMode="External"/><Relationship Id="rId263" Type="http://schemas.openxmlformats.org/officeDocument/2006/relationships/hyperlink" Target="https://www.linkedin.com/company/u.s.-embassy-bucharest-romania/" TargetMode="External"/><Relationship Id="rId141" Type="http://schemas.openxmlformats.org/officeDocument/2006/relationships/hyperlink" Target="https://www.facebook.com/usbotschaftberlin/" TargetMode="External"/><Relationship Id="rId262" Type="http://schemas.openxmlformats.org/officeDocument/2006/relationships/hyperlink" Target="https://www.instagram.com/usembassybucharest" TargetMode="External"/><Relationship Id="rId140" Type="http://schemas.openxmlformats.org/officeDocument/2006/relationships/hyperlink" Target="https://www.youtube.com/user/usconsmunich" TargetMode="External"/><Relationship Id="rId261" Type="http://schemas.openxmlformats.org/officeDocument/2006/relationships/hyperlink" Target="https://www.facebook.com/bucharest.usembassy/" TargetMode="External"/><Relationship Id="rId5" Type="http://schemas.openxmlformats.org/officeDocument/2006/relationships/hyperlink" Target="https://x.com/USAmbAlbania" TargetMode="External"/><Relationship Id="rId147" Type="http://schemas.openxmlformats.org/officeDocument/2006/relationships/hyperlink" Target="https://www.facebook.com/USEmbassyAthens/" TargetMode="External"/><Relationship Id="rId268" Type="http://schemas.openxmlformats.org/officeDocument/2006/relationships/hyperlink" Target="https://www.instagram.com/usembru" TargetMode="External"/><Relationship Id="rId6" Type="http://schemas.openxmlformats.org/officeDocument/2006/relationships/hyperlink" Target="https://www.facebook.com/usembarmenia/" TargetMode="External"/><Relationship Id="rId146" Type="http://schemas.openxmlformats.org/officeDocument/2006/relationships/hyperlink" Target="https://x.com/USAmbassadorGR" TargetMode="External"/><Relationship Id="rId267" Type="http://schemas.openxmlformats.org/officeDocument/2006/relationships/hyperlink" Target="https://www.instagram.com/usaporusski/" TargetMode="External"/><Relationship Id="rId7" Type="http://schemas.openxmlformats.org/officeDocument/2006/relationships/hyperlink" Target="https://www.instagram.com/usembarmenia/" TargetMode="External"/><Relationship Id="rId145" Type="http://schemas.openxmlformats.org/officeDocument/2006/relationships/hyperlink" Target="https://www.youtube.com/usbotschaft" TargetMode="External"/><Relationship Id="rId266" Type="http://schemas.openxmlformats.org/officeDocument/2006/relationships/hyperlink" Target="https://www.facebook.com/russia.usembassy/" TargetMode="External"/><Relationship Id="rId8" Type="http://schemas.openxmlformats.org/officeDocument/2006/relationships/hyperlink" Target="https://x.com/usembarmenia" TargetMode="External"/><Relationship Id="rId144" Type="http://schemas.openxmlformats.org/officeDocument/2006/relationships/hyperlink" Target="https://x.com/usbotschaft" TargetMode="External"/><Relationship Id="rId265" Type="http://schemas.openxmlformats.org/officeDocument/2006/relationships/hyperlink" Target="https://youtube.com/@embromania" TargetMode="External"/><Relationship Id="rId73" Type="http://schemas.openxmlformats.org/officeDocument/2006/relationships/hyperlink" Target="https://x.com/USEmbassyPrague" TargetMode="External"/><Relationship Id="rId72" Type="http://schemas.openxmlformats.org/officeDocument/2006/relationships/hyperlink" Target="https://www.instagram.com/usembassyprague" TargetMode="External"/><Relationship Id="rId75" Type="http://schemas.openxmlformats.org/officeDocument/2006/relationships/hyperlink" Target="https://www.instagram.com/usambdenmark/" TargetMode="External"/><Relationship Id="rId74" Type="http://schemas.openxmlformats.org/officeDocument/2006/relationships/hyperlink" Target="https://youtube.com/user/USEmbassyPrague" TargetMode="External"/><Relationship Id="rId77" Type="http://schemas.openxmlformats.org/officeDocument/2006/relationships/hyperlink" Target="https://www.facebook.com/denmark.usembassy/" TargetMode="External"/><Relationship Id="rId260" Type="http://schemas.openxmlformats.org/officeDocument/2006/relationships/hyperlink" Target="https://x.com/usambro" TargetMode="External"/><Relationship Id="rId76" Type="http://schemas.openxmlformats.org/officeDocument/2006/relationships/hyperlink" Target="https://x.com/usambdenmark" TargetMode="External"/><Relationship Id="rId79" Type="http://schemas.openxmlformats.org/officeDocument/2006/relationships/hyperlink" Target="https://www.linkedin.com/company/usembdenmark/" TargetMode="External"/><Relationship Id="rId78" Type="http://schemas.openxmlformats.org/officeDocument/2006/relationships/hyperlink" Target="https://www.instagram.com/usembdenmark" TargetMode="External"/><Relationship Id="rId71" Type="http://schemas.openxmlformats.org/officeDocument/2006/relationships/hyperlink" Target="https://www.facebook.com/USEmbassyPrague/" TargetMode="External"/><Relationship Id="rId70" Type="http://schemas.openxmlformats.org/officeDocument/2006/relationships/hyperlink" Target="https://youtube.com/user/nicosiairc" TargetMode="External"/><Relationship Id="rId139" Type="http://schemas.openxmlformats.org/officeDocument/2006/relationships/hyperlink" Target="https://x.com/usconsmunich" TargetMode="External"/><Relationship Id="rId138" Type="http://schemas.openxmlformats.org/officeDocument/2006/relationships/hyperlink" Target="https://www.instagram.com/usconsmunich" TargetMode="External"/><Relationship Id="rId259" Type="http://schemas.openxmlformats.org/officeDocument/2006/relationships/hyperlink" Target="https://youtube.com/@usembassyportugal" TargetMode="External"/><Relationship Id="rId137" Type="http://schemas.openxmlformats.org/officeDocument/2006/relationships/hyperlink" Target="https://www.facebook.com/usconsulatemunich/" TargetMode="External"/><Relationship Id="rId258" Type="http://schemas.openxmlformats.org/officeDocument/2006/relationships/hyperlink" Target="https://x.com/USEmbPortugal" TargetMode="External"/><Relationship Id="rId132" Type="http://schemas.openxmlformats.org/officeDocument/2006/relationships/hyperlink" Target="https://www.linkedin.com/in/u-s-consulate-general-hamburg-456a69219/" TargetMode="External"/><Relationship Id="rId253" Type="http://schemas.openxmlformats.org/officeDocument/2006/relationships/hyperlink" Target="https://x.com/USAmbPortugal" TargetMode="External"/><Relationship Id="rId131" Type="http://schemas.openxmlformats.org/officeDocument/2006/relationships/hyperlink" Target="https://x.com/usconshamburg" TargetMode="External"/><Relationship Id="rId252" Type="http://schemas.openxmlformats.org/officeDocument/2006/relationships/hyperlink" Target="https://www.instagram.com/USAmbPortugal/" TargetMode="External"/><Relationship Id="rId130" Type="http://schemas.openxmlformats.org/officeDocument/2006/relationships/hyperlink" Target="https://www.instagram.com/usconshamburg/" TargetMode="External"/><Relationship Id="rId251" Type="http://schemas.openxmlformats.org/officeDocument/2006/relationships/hyperlink" Target="https://youtube.com/@USEmbassyWarsaw" TargetMode="External"/><Relationship Id="rId250" Type="http://schemas.openxmlformats.org/officeDocument/2006/relationships/hyperlink" Target="https://www.linkedin.com/company/u-s-embassy-warsaw/" TargetMode="External"/><Relationship Id="rId136" Type="http://schemas.openxmlformats.org/officeDocument/2006/relationships/hyperlink" Target="https://x.com/USConsLeipzig" TargetMode="External"/><Relationship Id="rId257" Type="http://schemas.openxmlformats.org/officeDocument/2006/relationships/hyperlink" Target="https://www.linkedin.com/company/usembassylisbon/" TargetMode="External"/><Relationship Id="rId135" Type="http://schemas.openxmlformats.org/officeDocument/2006/relationships/hyperlink" Target="https://www.instagram.com/usconsleipzig/" TargetMode="External"/><Relationship Id="rId256" Type="http://schemas.openxmlformats.org/officeDocument/2006/relationships/hyperlink" Target="https://www.instagram.com/USembPortugal/" TargetMode="External"/><Relationship Id="rId134" Type="http://schemas.openxmlformats.org/officeDocument/2006/relationships/hyperlink" Target="https://www.facebook.com/USConGenLeipzig/" TargetMode="External"/><Relationship Id="rId255" Type="http://schemas.openxmlformats.org/officeDocument/2006/relationships/hyperlink" Target="https://www.facebook.com/usdos.portugal/" TargetMode="External"/><Relationship Id="rId133" Type="http://schemas.openxmlformats.org/officeDocument/2006/relationships/hyperlink" Target="https://youtube.com/user/USConsGenHamburg" TargetMode="External"/><Relationship Id="rId254" Type="http://schemas.openxmlformats.org/officeDocument/2006/relationships/hyperlink" Target="https://www.instagram.com/usconsulazores/" TargetMode="External"/><Relationship Id="rId62" Type="http://schemas.openxmlformats.org/officeDocument/2006/relationships/hyperlink" Target="https://www.facebook.com/usembassycroatia/" TargetMode="External"/><Relationship Id="rId61" Type="http://schemas.openxmlformats.org/officeDocument/2006/relationships/hyperlink" Target="https://x.com/USAmbCroatia" TargetMode="External"/><Relationship Id="rId64" Type="http://schemas.openxmlformats.org/officeDocument/2006/relationships/hyperlink" Target="https://x.com/USEmbZagreb" TargetMode="External"/><Relationship Id="rId63" Type="http://schemas.openxmlformats.org/officeDocument/2006/relationships/hyperlink" Target="https://www.instagram.com/usembassycroatia/" TargetMode="External"/><Relationship Id="rId66" Type="http://schemas.openxmlformats.org/officeDocument/2006/relationships/hyperlink" Target="https://x.com/USAmbcy" TargetMode="External"/><Relationship Id="rId172" Type="http://schemas.openxmlformats.org/officeDocument/2006/relationships/hyperlink" Target="https://facebook.com/USCGFlorence" TargetMode="External"/><Relationship Id="rId293" Type="http://schemas.openxmlformats.org/officeDocument/2006/relationships/hyperlink" Target="https://www.linkedin.com/company/usconsulatebcn/" TargetMode="External"/><Relationship Id="rId65" Type="http://schemas.openxmlformats.org/officeDocument/2006/relationships/hyperlink" Target="https://www.youtube.com/user/usembassyzagreb" TargetMode="External"/><Relationship Id="rId171" Type="http://schemas.openxmlformats.org/officeDocument/2006/relationships/hyperlink" Target="https://x.com/usambitaly" TargetMode="External"/><Relationship Id="rId292" Type="http://schemas.openxmlformats.org/officeDocument/2006/relationships/hyperlink" Target="https://www.instagram.com/usconsulatebcn/" TargetMode="External"/><Relationship Id="rId68" Type="http://schemas.openxmlformats.org/officeDocument/2006/relationships/hyperlink" Target="https://www.instagram.com/usembassycyprus/" TargetMode="External"/><Relationship Id="rId170" Type="http://schemas.openxmlformats.org/officeDocument/2006/relationships/hyperlink" Target="https://youtube.com/user/paodublin" TargetMode="External"/><Relationship Id="rId291" Type="http://schemas.openxmlformats.org/officeDocument/2006/relationships/hyperlink" Target="https://www.facebook.com/USConsulateBCN/" TargetMode="External"/><Relationship Id="rId67" Type="http://schemas.openxmlformats.org/officeDocument/2006/relationships/hyperlink" Target="https://www.facebook.com/USEmbassyCyprus/" TargetMode="External"/><Relationship Id="rId290" Type="http://schemas.openxmlformats.org/officeDocument/2006/relationships/hyperlink" Target="https://youtube.com/@USEmbassyLjubljana" TargetMode="External"/><Relationship Id="rId60" Type="http://schemas.openxmlformats.org/officeDocument/2006/relationships/hyperlink" Target="https://www.linkedin.com/company/us-embassy-in-bulgaria/about/" TargetMode="External"/><Relationship Id="rId165" Type="http://schemas.openxmlformats.org/officeDocument/2006/relationships/hyperlink" Target="https://www.youtube.com/user/USEmbReykjavik" TargetMode="External"/><Relationship Id="rId286" Type="http://schemas.openxmlformats.org/officeDocument/2006/relationships/hyperlink" Target="https://www.instagram.com/usambslovenia/" TargetMode="External"/><Relationship Id="rId69" Type="http://schemas.openxmlformats.org/officeDocument/2006/relationships/hyperlink" Target="https://x.com/USEmbassyCyprus" TargetMode="External"/><Relationship Id="rId164" Type="http://schemas.openxmlformats.org/officeDocument/2006/relationships/hyperlink" Target="https://x.com/usembreykjavik" TargetMode="External"/><Relationship Id="rId285" Type="http://schemas.openxmlformats.org/officeDocument/2006/relationships/hyperlink" Target="https://x.com/USAmbSlovenia" TargetMode="External"/><Relationship Id="rId163" Type="http://schemas.openxmlformats.org/officeDocument/2006/relationships/hyperlink" Target="https://www.instagram.com/usembreykjavik/" TargetMode="External"/><Relationship Id="rId284" Type="http://schemas.openxmlformats.org/officeDocument/2006/relationships/hyperlink" Target="https://www.flickr.com/photos/usembassyslovakia/" TargetMode="External"/><Relationship Id="rId162" Type="http://schemas.openxmlformats.org/officeDocument/2006/relationships/hyperlink" Target="https://www.facebook.com/USEmbReykjavik/" TargetMode="External"/><Relationship Id="rId283" Type="http://schemas.openxmlformats.org/officeDocument/2006/relationships/hyperlink" Target="https://youtube.com/@USEMBBratislava" TargetMode="External"/><Relationship Id="rId169" Type="http://schemas.openxmlformats.org/officeDocument/2006/relationships/hyperlink" Target="https://x.com/USEmbassyDublin" TargetMode="External"/><Relationship Id="rId168" Type="http://schemas.openxmlformats.org/officeDocument/2006/relationships/hyperlink" Target="https://facebook.com/usembassydublin" TargetMode="External"/><Relationship Id="rId289" Type="http://schemas.openxmlformats.org/officeDocument/2006/relationships/hyperlink" Target="https://x.com/USEmbassySLO" TargetMode="External"/><Relationship Id="rId167" Type="http://schemas.openxmlformats.org/officeDocument/2006/relationships/hyperlink" Target="https://x.com/USAmbIreland" TargetMode="External"/><Relationship Id="rId288" Type="http://schemas.openxmlformats.org/officeDocument/2006/relationships/hyperlink" Target="https://www.instagram.com/usembassyslo" TargetMode="External"/><Relationship Id="rId166" Type="http://schemas.openxmlformats.org/officeDocument/2006/relationships/hyperlink" Target="https://www.instagram.com/usembassydublin" TargetMode="External"/><Relationship Id="rId287" Type="http://schemas.openxmlformats.org/officeDocument/2006/relationships/hyperlink" Target="https://www.facebook.com/slovenia.usembassy" TargetMode="External"/><Relationship Id="rId51" Type="http://schemas.openxmlformats.org/officeDocument/2006/relationships/hyperlink" Target="https://www.facebook.com/usembassy.bih/" TargetMode="External"/><Relationship Id="rId50" Type="http://schemas.openxmlformats.org/officeDocument/2006/relationships/hyperlink" Target="https://www.linkedin.com/company/u-s-consulate-general-hamilton-bermuda/" TargetMode="External"/><Relationship Id="rId53" Type="http://schemas.openxmlformats.org/officeDocument/2006/relationships/hyperlink" Target="https://www.linkedin.com/in/usambbih/" TargetMode="External"/><Relationship Id="rId52" Type="http://schemas.openxmlformats.org/officeDocument/2006/relationships/hyperlink" Target="https://www.instagram.com/usembassybih/" TargetMode="External"/><Relationship Id="rId55" Type="http://schemas.openxmlformats.org/officeDocument/2006/relationships/hyperlink" Target="https://www.youtube.com/user/usembassysarajevo" TargetMode="External"/><Relationship Id="rId161" Type="http://schemas.openxmlformats.org/officeDocument/2006/relationships/hyperlink" Target="https://x.com/USAmbIceland" TargetMode="External"/><Relationship Id="rId282" Type="http://schemas.openxmlformats.org/officeDocument/2006/relationships/hyperlink" Target="https://x.com/USEmbassySK" TargetMode="External"/><Relationship Id="rId54" Type="http://schemas.openxmlformats.org/officeDocument/2006/relationships/hyperlink" Target="https://x.com/USEmbassySJJ" TargetMode="External"/><Relationship Id="rId160" Type="http://schemas.openxmlformats.org/officeDocument/2006/relationships/hyperlink" Target="https://www.youtube.com/user/USEmbassyBudapest" TargetMode="External"/><Relationship Id="rId281" Type="http://schemas.openxmlformats.org/officeDocument/2006/relationships/hyperlink" Target="https://www.instagram.com/usembassyslovakia/" TargetMode="External"/><Relationship Id="rId57" Type="http://schemas.openxmlformats.org/officeDocument/2006/relationships/hyperlink" Target="https://www.instagram.com/usembsofia/" TargetMode="External"/><Relationship Id="rId280" Type="http://schemas.openxmlformats.org/officeDocument/2006/relationships/hyperlink" Target="https://www.facebook.com/USEmbassySlovakia/" TargetMode="External"/><Relationship Id="rId56" Type="http://schemas.openxmlformats.org/officeDocument/2006/relationships/hyperlink" Target="https://www.facebook.com/USEmbassySofia/" TargetMode="External"/><Relationship Id="rId159" Type="http://schemas.openxmlformats.org/officeDocument/2006/relationships/hyperlink" Target="https://x.com/usembbudapest" TargetMode="External"/><Relationship Id="rId59" Type="http://schemas.openxmlformats.org/officeDocument/2006/relationships/hyperlink" Target="https://youtube.com/user/SofiaPAO" TargetMode="External"/><Relationship Id="rId154" Type="http://schemas.openxmlformats.org/officeDocument/2006/relationships/hyperlink" Target="https://www.facebook.com/usconsulatenuuk/" TargetMode="External"/><Relationship Id="rId275" Type="http://schemas.openxmlformats.org/officeDocument/2006/relationships/hyperlink" Target="https://www.facebook.com/USEmbassySerbia/" TargetMode="External"/><Relationship Id="rId58" Type="http://schemas.openxmlformats.org/officeDocument/2006/relationships/hyperlink" Target="https://x.com/USEmbassySofia" TargetMode="External"/><Relationship Id="rId153" Type="http://schemas.openxmlformats.org/officeDocument/2006/relationships/hyperlink" Target="https://x.com/USConsulateThes" TargetMode="External"/><Relationship Id="rId274" Type="http://schemas.openxmlformats.org/officeDocument/2006/relationships/hyperlink" Target="https://x.com/usambserbia" TargetMode="External"/><Relationship Id="rId152" Type="http://schemas.openxmlformats.org/officeDocument/2006/relationships/hyperlink" Target="https://www.facebook.com/thessaloniki.usconsulate/" TargetMode="External"/><Relationship Id="rId273" Type="http://schemas.openxmlformats.org/officeDocument/2006/relationships/hyperlink" Target="https://youtube.com/user/usembassyru" TargetMode="External"/><Relationship Id="rId151" Type="http://schemas.openxmlformats.org/officeDocument/2006/relationships/hyperlink" Target="https://facebook.com/ConsularSectionUSEmbassyAthens" TargetMode="External"/><Relationship Id="rId272" Type="http://schemas.openxmlformats.org/officeDocument/2006/relationships/hyperlink" Target="https://vk.com/usembru" TargetMode="External"/><Relationship Id="rId158" Type="http://schemas.openxmlformats.org/officeDocument/2006/relationships/hyperlink" Target="https://www.instagram.com/usembhungary/" TargetMode="External"/><Relationship Id="rId279" Type="http://schemas.openxmlformats.org/officeDocument/2006/relationships/hyperlink" Target="https://youtube.com/user/usembassybelgrade" TargetMode="External"/><Relationship Id="rId157" Type="http://schemas.openxmlformats.org/officeDocument/2006/relationships/hyperlink" Target="https://facebook.com/hungary.usembassy" TargetMode="External"/><Relationship Id="rId278" Type="http://schemas.openxmlformats.org/officeDocument/2006/relationships/hyperlink" Target="https://x.com/USEmbassySerbia" TargetMode="External"/><Relationship Id="rId156" Type="http://schemas.openxmlformats.org/officeDocument/2006/relationships/hyperlink" Target="https://x.com/USAmbHungary" TargetMode="External"/><Relationship Id="rId277" Type="http://schemas.openxmlformats.org/officeDocument/2006/relationships/hyperlink" Target="https://www.linkedin.com/showcase/u-s-embassy-belgrade-serbia/" TargetMode="External"/><Relationship Id="rId155" Type="http://schemas.openxmlformats.org/officeDocument/2006/relationships/hyperlink" Target="https://www.instagram.com/usconsulatenuuk/" TargetMode="External"/><Relationship Id="rId276" Type="http://schemas.openxmlformats.org/officeDocument/2006/relationships/hyperlink" Target="https://www.instagram.com/usembassyserbia" TargetMode="External"/><Relationship Id="rId107" Type="http://schemas.openxmlformats.org/officeDocument/2006/relationships/hyperlink" Target="https://www.facebook.com/usdos.france/" TargetMode="External"/><Relationship Id="rId228" Type="http://schemas.openxmlformats.org/officeDocument/2006/relationships/hyperlink" Target="https://x.com/usembthehague" TargetMode="External"/><Relationship Id="rId349" Type="http://schemas.openxmlformats.org/officeDocument/2006/relationships/drawing" Target="../drawings/drawing4.xml"/><Relationship Id="rId106" Type="http://schemas.openxmlformats.org/officeDocument/2006/relationships/hyperlink" Target="https://x.com/USAStrasbourg" TargetMode="External"/><Relationship Id="rId227" Type="http://schemas.openxmlformats.org/officeDocument/2006/relationships/hyperlink" Target="https://www.instagram.com/u.s.embassythehague" TargetMode="External"/><Relationship Id="rId348" Type="http://schemas.openxmlformats.org/officeDocument/2006/relationships/hyperlink" Target="https://youtube.com/user/usembassyvatican" TargetMode="External"/><Relationship Id="rId105" Type="http://schemas.openxmlformats.org/officeDocument/2006/relationships/hyperlink" Target="https://www.instagram.com/usa_strasbourg/" TargetMode="External"/><Relationship Id="rId226" Type="http://schemas.openxmlformats.org/officeDocument/2006/relationships/hyperlink" Target="https://www.facebook.com/USEmbassyNL/" TargetMode="External"/><Relationship Id="rId347" Type="http://schemas.openxmlformats.org/officeDocument/2006/relationships/hyperlink" Target="https://x.com/USinHolySee" TargetMode="External"/><Relationship Id="rId104" Type="http://schemas.openxmlformats.org/officeDocument/2006/relationships/hyperlink" Target="https://facebook.com/strasbourg.usconsulate" TargetMode="External"/><Relationship Id="rId225" Type="http://schemas.openxmlformats.org/officeDocument/2006/relationships/hyperlink" Target="https://www.youtube.com/channel/UC9Ip5mWcNskswATEaErx7rw" TargetMode="External"/><Relationship Id="rId346" Type="http://schemas.openxmlformats.org/officeDocument/2006/relationships/hyperlink" Target="https://www.instagram.com/usinholysee/" TargetMode="External"/><Relationship Id="rId109" Type="http://schemas.openxmlformats.org/officeDocument/2006/relationships/hyperlink" Target="https://x.com/USEmbassyFrance" TargetMode="External"/><Relationship Id="rId108" Type="http://schemas.openxmlformats.org/officeDocument/2006/relationships/hyperlink" Target="https://www.instagram.com/usembassyfrance" TargetMode="External"/><Relationship Id="rId229" Type="http://schemas.openxmlformats.org/officeDocument/2006/relationships/hyperlink" Target="https://youtube.com/@usembthehague" TargetMode="External"/><Relationship Id="rId220" Type="http://schemas.openxmlformats.org/officeDocument/2006/relationships/hyperlink" Target="https://youtube.com/@USEmbassyPodgorica" TargetMode="External"/><Relationship Id="rId341" Type="http://schemas.openxmlformats.org/officeDocument/2006/relationships/hyperlink" Target="https://x.com/USAinUKConsular" TargetMode="External"/><Relationship Id="rId340" Type="http://schemas.openxmlformats.org/officeDocument/2006/relationships/hyperlink" Target="https://youtube.com/user/USEmbassyLondon" TargetMode="External"/><Relationship Id="rId103" Type="http://schemas.openxmlformats.org/officeDocument/2006/relationships/hyperlink" Target="https://x.com/ConsulatRennes" TargetMode="External"/><Relationship Id="rId224" Type="http://schemas.openxmlformats.org/officeDocument/2006/relationships/hyperlink" Target="https://x.com/ConGenAMS" TargetMode="External"/><Relationship Id="rId345" Type="http://schemas.openxmlformats.org/officeDocument/2006/relationships/hyperlink" Target="https://www.facebook.com/holysee.usembassy/" TargetMode="External"/><Relationship Id="rId102" Type="http://schemas.openxmlformats.org/officeDocument/2006/relationships/hyperlink" Target="https://www.instagram.com/usconsulaterennes/" TargetMode="External"/><Relationship Id="rId223" Type="http://schemas.openxmlformats.org/officeDocument/2006/relationships/hyperlink" Target="https://www.instagram.com/uscongenams" TargetMode="External"/><Relationship Id="rId344" Type="http://schemas.openxmlformats.org/officeDocument/2006/relationships/hyperlink" Target="https://x.com/USEnvoyNI" TargetMode="External"/><Relationship Id="rId101" Type="http://schemas.openxmlformats.org/officeDocument/2006/relationships/hyperlink" Target="https://www.facebook.com/usdos.rennes/" TargetMode="External"/><Relationship Id="rId222" Type="http://schemas.openxmlformats.org/officeDocument/2006/relationships/hyperlink" Target="https://www.facebook.com/USConGenAmsterdam/" TargetMode="External"/><Relationship Id="rId343" Type="http://schemas.openxmlformats.org/officeDocument/2006/relationships/hyperlink" Target="https://x.com/StateSEHI" TargetMode="External"/><Relationship Id="rId100" Type="http://schemas.openxmlformats.org/officeDocument/2006/relationships/hyperlink" Target="https://x.com/usamarseille" TargetMode="External"/><Relationship Id="rId221" Type="http://schemas.openxmlformats.org/officeDocument/2006/relationships/hyperlink" Target="https://x.com/usambnl" TargetMode="External"/><Relationship Id="rId342" Type="http://schemas.openxmlformats.org/officeDocument/2006/relationships/hyperlink" Target="https://x.com/StateEUR" TargetMode="External"/><Relationship Id="rId217" Type="http://schemas.openxmlformats.org/officeDocument/2006/relationships/hyperlink" Target="https://www.facebook.com/montenegro.usembassy/" TargetMode="External"/><Relationship Id="rId338" Type="http://schemas.openxmlformats.org/officeDocument/2006/relationships/hyperlink" Target="https://x.com/USAinUK" TargetMode="External"/><Relationship Id="rId216" Type="http://schemas.openxmlformats.org/officeDocument/2006/relationships/hyperlink" Target="https://x.com/USAmbMNE" TargetMode="External"/><Relationship Id="rId337" Type="http://schemas.openxmlformats.org/officeDocument/2006/relationships/hyperlink" Target="https://www.linkedin.com/company/us-embassy-london/" TargetMode="External"/><Relationship Id="rId215" Type="http://schemas.openxmlformats.org/officeDocument/2006/relationships/hyperlink" Target="https://www.instagram.com/us_ambassador_mne/" TargetMode="External"/><Relationship Id="rId336" Type="http://schemas.openxmlformats.org/officeDocument/2006/relationships/hyperlink" Target="https://www.instagram.com/usa_in_uk" TargetMode="External"/><Relationship Id="rId214" Type="http://schemas.openxmlformats.org/officeDocument/2006/relationships/hyperlink" Target="https://youtube.com/user/USembassyMoldova" TargetMode="External"/><Relationship Id="rId335" Type="http://schemas.openxmlformats.org/officeDocument/2006/relationships/hyperlink" Target="https://www.facebook.com/uk.usembassy/" TargetMode="External"/><Relationship Id="rId219" Type="http://schemas.openxmlformats.org/officeDocument/2006/relationships/hyperlink" Target="https://x.com/USEmbassyMNE" TargetMode="External"/><Relationship Id="rId218" Type="http://schemas.openxmlformats.org/officeDocument/2006/relationships/hyperlink" Target="https://www.instagram.com/usa_in_mne/" TargetMode="External"/><Relationship Id="rId339" Type="http://schemas.openxmlformats.org/officeDocument/2006/relationships/hyperlink" Target="https://x.com/USAinUKpress" TargetMode="External"/><Relationship Id="rId330" Type="http://schemas.openxmlformats.org/officeDocument/2006/relationships/hyperlink" Target="https://x.com/usambuk" TargetMode="External"/><Relationship Id="rId213" Type="http://schemas.openxmlformats.org/officeDocument/2006/relationships/hyperlink" Target="https://x.com/USembMoldova" TargetMode="External"/><Relationship Id="rId334" Type="http://schemas.openxmlformats.org/officeDocument/2006/relationships/hyperlink" Target="https://x.com/USAinScotland" TargetMode="External"/><Relationship Id="rId212" Type="http://schemas.openxmlformats.org/officeDocument/2006/relationships/hyperlink" Target="https://www.instagram.com/usembassymoldova" TargetMode="External"/><Relationship Id="rId333" Type="http://schemas.openxmlformats.org/officeDocument/2006/relationships/hyperlink" Target="https://x.com/USAinNI" TargetMode="External"/><Relationship Id="rId211" Type="http://schemas.openxmlformats.org/officeDocument/2006/relationships/hyperlink" Target="https://www.facebook.com/U.S.EmbassyMoldova/" TargetMode="External"/><Relationship Id="rId332" Type="http://schemas.openxmlformats.org/officeDocument/2006/relationships/hyperlink" Target="https://www.facebook.com/US-Consulate-Belfast-189796969657" TargetMode="External"/><Relationship Id="rId210" Type="http://schemas.openxmlformats.org/officeDocument/2006/relationships/hyperlink" Target="https://youtube.com/@usembmalta" TargetMode="External"/><Relationship Id="rId331" Type="http://schemas.openxmlformats.org/officeDocument/2006/relationships/hyperlink" Target="https://www.instagram.com/us_amb_uk/" TargetMode="External"/><Relationship Id="rId129" Type="http://schemas.openxmlformats.org/officeDocument/2006/relationships/hyperlink" Target="https://www.facebook.com/USConsulateHamburg/" TargetMode="External"/><Relationship Id="rId128" Type="http://schemas.openxmlformats.org/officeDocument/2006/relationships/hyperlink" Target="https://www.youtube.com/user/FrankfurtUSConsulate" TargetMode="External"/><Relationship Id="rId249" Type="http://schemas.openxmlformats.org/officeDocument/2006/relationships/hyperlink" Target="https://x.com/USEmbassyWarsaw" TargetMode="External"/><Relationship Id="rId127" Type="http://schemas.openxmlformats.org/officeDocument/2006/relationships/hyperlink" Target="https://x.com/usconsfrankfurt" TargetMode="External"/><Relationship Id="rId248" Type="http://schemas.openxmlformats.org/officeDocument/2006/relationships/hyperlink" Target="https://www.instagram.com/usembassywarsaw/" TargetMode="External"/><Relationship Id="rId126" Type="http://schemas.openxmlformats.org/officeDocument/2006/relationships/hyperlink" Target="https://www.linkedin.com/company/usconsfrankfurt/" TargetMode="External"/><Relationship Id="rId247" Type="http://schemas.openxmlformats.org/officeDocument/2006/relationships/hyperlink" Target="https://www.facebook.com/USEmbassyWarsaw/" TargetMode="External"/><Relationship Id="rId121" Type="http://schemas.openxmlformats.org/officeDocument/2006/relationships/hyperlink" Target="https://www.instagram.com/usconsduesseldorf/" TargetMode="External"/><Relationship Id="rId242" Type="http://schemas.openxmlformats.org/officeDocument/2006/relationships/hyperlink" Target="https://x.com/USAmbPoland" TargetMode="External"/><Relationship Id="rId120" Type="http://schemas.openxmlformats.org/officeDocument/2006/relationships/hyperlink" Target="https://www.facebook.com/USConGenNRW/" TargetMode="External"/><Relationship Id="rId241" Type="http://schemas.openxmlformats.org/officeDocument/2006/relationships/hyperlink" Target="https://www.instagram.com/usambassadortopoland/" TargetMode="External"/><Relationship Id="rId240" Type="http://schemas.openxmlformats.org/officeDocument/2006/relationships/hyperlink" Target="https://www.linkedin.com/company/us-embassy-oslo/" TargetMode="External"/><Relationship Id="rId125" Type="http://schemas.openxmlformats.org/officeDocument/2006/relationships/hyperlink" Target="https://www.instagram.com/usconsfrankfurt/" TargetMode="External"/><Relationship Id="rId246" Type="http://schemas.openxmlformats.org/officeDocument/2006/relationships/hyperlink" Target="https://youtube.com/user/KrakowAIRC" TargetMode="External"/><Relationship Id="rId124" Type="http://schemas.openxmlformats.org/officeDocument/2006/relationships/hyperlink" Target="https://www.facebook.com/usconsulate.frankfurt/" TargetMode="External"/><Relationship Id="rId245" Type="http://schemas.openxmlformats.org/officeDocument/2006/relationships/hyperlink" Target="https://x.com/USConsKrakow" TargetMode="External"/><Relationship Id="rId123" Type="http://schemas.openxmlformats.org/officeDocument/2006/relationships/hyperlink" Target="https://www.linkedin.com/in/us-consulate-general-duesseldorf-99aba023b/" TargetMode="External"/><Relationship Id="rId244" Type="http://schemas.openxmlformats.org/officeDocument/2006/relationships/hyperlink" Target="https://www.instagram.com/usakrakow" TargetMode="External"/><Relationship Id="rId122" Type="http://schemas.openxmlformats.org/officeDocument/2006/relationships/hyperlink" Target="https://x.com/USConGenNRW" TargetMode="External"/><Relationship Id="rId243" Type="http://schemas.openxmlformats.org/officeDocument/2006/relationships/hyperlink" Target="https://www.facebook.com/krakow.usconsulate/" TargetMode="External"/><Relationship Id="rId95" Type="http://schemas.openxmlformats.org/officeDocument/2006/relationships/hyperlink" Target="https://www.facebook.com/usdos.bordeaux/" TargetMode="External"/><Relationship Id="rId94" Type="http://schemas.openxmlformats.org/officeDocument/2006/relationships/hyperlink" Target="https://x.com/USAmbFrance" TargetMode="External"/><Relationship Id="rId97" Type="http://schemas.openxmlformats.org/officeDocument/2006/relationships/hyperlink" Target="https://www.instagram.com/usconsulatelyon/" TargetMode="External"/><Relationship Id="rId96" Type="http://schemas.openxmlformats.org/officeDocument/2006/relationships/hyperlink" Target="https://www.facebook.com/USConsulat.Lyon/" TargetMode="External"/><Relationship Id="rId99" Type="http://schemas.openxmlformats.org/officeDocument/2006/relationships/hyperlink" Target="https://www.instagram.com/usconsulatemarseille/" TargetMode="External"/><Relationship Id="rId98" Type="http://schemas.openxmlformats.org/officeDocument/2006/relationships/hyperlink" Target="https://www.facebook.com/usdos.marseille/" TargetMode="External"/><Relationship Id="rId91" Type="http://schemas.openxmlformats.org/officeDocument/2006/relationships/hyperlink" Target="https://x.com/usembfinland" TargetMode="External"/><Relationship Id="rId90" Type="http://schemas.openxmlformats.org/officeDocument/2006/relationships/hyperlink" Target="https://www.linkedin.com/company/usembfinland/" TargetMode="External"/><Relationship Id="rId93" Type="http://schemas.openxmlformats.org/officeDocument/2006/relationships/hyperlink" Target="https://www.flickr.com/photos/usembfinland/" TargetMode="External"/><Relationship Id="rId92" Type="http://schemas.openxmlformats.org/officeDocument/2006/relationships/hyperlink" Target="https://youtube.com/user/USEmbassyHelsinki" TargetMode="External"/><Relationship Id="rId118" Type="http://schemas.openxmlformats.org/officeDocument/2006/relationships/hyperlink" Target="https://www.instagram.com/usambgermany/" TargetMode="External"/><Relationship Id="rId239" Type="http://schemas.openxmlformats.org/officeDocument/2006/relationships/hyperlink" Target="https://youtube.com/@usembassynorway" TargetMode="External"/><Relationship Id="rId117" Type="http://schemas.openxmlformats.org/officeDocument/2006/relationships/hyperlink" Target="https://youtube.com/user/USEmbassyTbilisi" TargetMode="External"/><Relationship Id="rId238" Type="http://schemas.openxmlformats.org/officeDocument/2006/relationships/hyperlink" Target="https://x.com/usembassyoslo" TargetMode="External"/><Relationship Id="rId116" Type="http://schemas.openxmlformats.org/officeDocument/2006/relationships/hyperlink" Target="https://x.com/usingeo" TargetMode="External"/><Relationship Id="rId237" Type="http://schemas.openxmlformats.org/officeDocument/2006/relationships/hyperlink" Target="https://www.instagram.com/usembassyoslo" TargetMode="External"/><Relationship Id="rId115" Type="http://schemas.openxmlformats.org/officeDocument/2006/relationships/hyperlink" Target="https://www.instagram.com/usingeo" TargetMode="External"/><Relationship Id="rId236" Type="http://schemas.openxmlformats.org/officeDocument/2006/relationships/hyperlink" Target="https://www.facebook.com/usembassyoslo/" TargetMode="External"/><Relationship Id="rId119" Type="http://schemas.openxmlformats.org/officeDocument/2006/relationships/hyperlink" Target="https://x.com/USAmbGermany" TargetMode="External"/><Relationship Id="rId110" Type="http://schemas.openxmlformats.org/officeDocument/2006/relationships/hyperlink" Target="https://www.linkedin.com/company/u-s-embassy-france/" TargetMode="External"/><Relationship Id="rId231" Type="http://schemas.openxmlformats.org/officeDocument/2006/relationships/hyperlink" Target="https://x.com/USAmbNMacedonia" TargetMode="External"/><Relationship Id="rId230" Type="http://schemas.openxmlformats.org/officeDocument/2006/relationships/hyperlink" Target="https://www.linkedin.com/showcase/u-s-embassy-the-hague-the-netherlands/" TargetMode="External"/><Relationship Id="rId114" Type="http://schemas.openxmlformats.org/officeDocument/2006/relationships/hyperlink" Target="https://www.facebook.com/usingeo/" TargetMode="External"/><Relationship Id="rId235" Type="http://schemas.openxmlformats.org/officeDocument/2006/relationships/hyperlink" Target="https://youtube.com/@USEmbassyinNorthMacedonia" TargetMode="External"/><Relationship Id="rId113" Type="http://schemas.openxmlformats.org/officeDocument/2006/relationships/hyperlink" Target="https://x.com/USOECD" TargetMode="External"/><Relationship Id="rId234" Type="http://schemas.openxmlformats.org/officeDocument/2006/relationships/hyperlink" Target="https://x.com/USEmbassySkopje" TargetMode="External"/><Relationship Id="rId112" Type="http://schemas.openxmlformats.org/officeDocument/2006/relationships/hyperlink" Target="https://www.facebook.com/USMissionOECD" TargetMode="External"/><Relationship Id="rId233" Type="http://schemas.openxmlformats.org/officeDocument/2006/relationships/hyperlink" Target="https://www.instagram.com/usembassyskopje" TargetMode="External"/><Relationship Id="rId111" Type="http://schemas.openxmlformats.org/officeDocument/2006/relationships/hyperlink" Target="https://www.youtube.com/@u.s.embassyfrance" TargetMode="External"/><Relationship Id="rId232" Type="http://schemas.openxmlformats.org/officeDocument/2006/relationships/hyperlink" Target="https://www.facebook.com/USEmbassySkopje/" TargetMode="External"/><Relationship Id="rId305" Type="http://schemas.openxmlformats.org/officeDocument/2006/relationships/hyperlink" Target="https://x.com/usembsweden" TargetMode="External"/><Relationship Id="rId304" Type="http://schemas.openxmlformats.org/officeDocument/2006/relationships/hyperlink" Target="https://www.instagram.com/usembsweden" TargetMode="External"/><Relationship Id="rId303" Type="http://schemas.openxmlformats.org/officeDocument/2006/relationships/hyperlink" Target="https://www.facebook.com/stockholm.usembassy/" TargetMode="External"/><Relationship Id="rId302" Type="http://schemas.openxmlformats.org/officeDocument/2006/relationships/hyperlink" Target="https://x.com/USAmbSweden" TargetMode="External"/><Relationship Id="rId309" Type="http://schemas.openxmlformats.org/officeDocument/2006/relationships/hyperlink" Target="https://www.facebook.com/USBotschaftBern/" TargetMode="External"/><Relationship Id="rId308" Type="http://schemas.openxmlformats.org/officeDocument/2006/relationships/hyperlink" Target="https://www.instagram.com/usambbern/" TargetMode="External"/><Relationship Id="rId307" Type="http://schemas.openxmlformats.org/officeDocument/2006/relationships/hyperlink" Target="https://www.flickr.com/photos/usembsweden/" TargetMode="External"/><Relationship Id="rId306" Type="http://schemas.openxmlformats.org/officeDocument/2006/relationships/hyperlink" Target="https://www.youtube.com/@USEmbassySweden/" TargetMode="External"/><Relationship Id="rId301" Type="http://schemas.openxmlformats.org/officeDocument/2006/relationships/hyperlink" Target="https://www.instagram.com/usambsweden/" TargetMode="External"/><Relationship Id="rId300" Type="http://schemas.openxmlformats.org/officeDocument/2006/relationships/hyperlink" Target="https://youtube.com/@USembassyMadrid" TargetMode="External"/><Relationship Id="rId206" Type="http://schemas.openxmlformats.org/officeDocument/2006/relationships/hyperlink" Target="https://www.youtube.com/@usembassyluxembourg505/" TargetMode="External"/><Relationship Id="rId327" Type="http://schemas.openxmlformats.org/officeDocument/2006/relationships/hyperlink" Target="https://www.instagram.com/usembkyiv" TargetMode="External"/><Relationship Id="rId205" Type="http://schemas.openxmlformats.org/officeDocument/2006/relationships/hyperlink" Target="https://x.com/USEmbLuxembourg" TargetMode="External"/><Relationship Id="rId326" Type="http://schemas.openxmlformats.org/officeDocument/2006/relationships/hyperlink" Target="https://www.facebook.com/usdos.ukraine/" TargetMode="External"/><Relationship Id="rId204" Type="http://schemas.openxmlformats.org/officeDocument/2006/relationships/hyperlink" Target="https://www.linkedin.com/company/u-s-embassy-luxembourg/" TargetMode="External"/><Relationship Id="rId325" Type="http://schemas.openxmlformats.org/officeDocument/2006/relationships/hyperlink" Target="https://x.com/USAmbKyiv" TargetMode="External"/><Relationship Id="rId203" Type="http://schemas.openxmlformats.org/officeDocument/2006/relationships/hyperlink" Target="https://www.instagram.com/us.embassy.luxembourg" TargetMode="External"/><Relationship Id="rId324" Type="http://schemas.openxmlformats.org/officeDocument/2006/relationships/hyperlink" Target="https://www.instagram.com/usambkyiv/" TargetMode="External"/><Relationship Id="rId209" Type="http://schemas.openxmlformats.org/officeDocument/2006/relationships/hyperlink" Target="https://x.com/usembmalta" TargetMode="External"/><Relationship Id="rId208" Type="http://schemas.openxmlformats.org/officeDocument/2006/relationships/hyperlink" Target="https://www.facebook.com/usembmalta/" TargetMode="External"/><Relationship Id="rId329" Type="http://schemas.openxmlformats.org/officeDocument/2006/relationships/hyperlink" Target="https://youtube.com/@USEmbassyKyiv" TargetMode="External"/><Relationship Id="rId207" Type="http://schemas.openxmlformats.org/officeDocument/2006/relationships/hyperlink" Target="https://x.com/USAmbMalta" TargetMode="External"/><Relationship Id="rId328" Type="http://schemas.openxmlformats.org/officeDocument/2006/relationships/hyperlink" Target="https://x.com/USEmbassyKyiv" TargetMode="External"/><Relationship Id="rId202" Type="http://schemas.openxmlformats.org/officeDocument/2006/relationships/hyperlink" Target="https://facebook.com/usdos.Luxembourg" TargetMode="External"/><Relationship Id="rId323" Type="http://schemas.openxmlformats.org/officeDocument/2006/relationships/hyperlink" Target="https://www.youtube.com/USEmbassyTurkey" TargetMode="External"/><Relationship Id="rId201" Type="http://schemas.openxmlformats.org/officeDocument/2006/relationships/hyperlink" Target="https://youtube.com/@USEmbassyLithuania" TargetMode="External"/><Relationship Id="rId322" Type="http://schemas.openxmlformats.org/officeDocument/2006/relationships/hyperlink" Target="https://x.com/USEmbassyTurkey" TargetMode="External"/><Relationship Id="rId200" Type="http://schemas.openxmlformats.org/officeDocument/2006/relationships/hyperlink" Target="https://x.com/USEmbVilnius" TargetMode="External"/><Relationship Id="rId321" Type="http://schemas.openxmlformats.org/officeDocument/2006/relationships/hyperlink" Target="https://www.instagram.com/usembturkiye/" TargetMode="External"/><Relationship Id="rId320" Type="http://schemas.openxmlformats.org/officeDocument/2006/relationships/hyperlink" Target="https://www.facebook.com/usembturkiye" TargetMode="External"/><Relationship Id="rId316" Type="http://schemas.openxmlformats.org/officeDocument/2006/relationships/hyperlink" Target="https://www.facebook.com/usconsistanbul/" TargetMode="External"/><Relationship Id="rId315" Type="http://schemas.openxmlformats.org/officeDocument/2006/relationships/hyperlink" Target="https://www.instagram.com/usconsadana" TargetMode="External"/><Relationship Id="rId314" Type="http://schemas.openxmlformats.org/officeDocument/2006/relationships/hyperlink" Target="https://www.facebook.com/usconsadana/" TargetMode="External"/><Relationship Id="rId313" Type="http://schemas.openxmlformats.org/officeDocument/2006/relationships/hyperlink" Target="https://www.flickr.com/photos/usembassybern/" TargetMode="External"/><Relationship Id="rId319" Type="http://schemas.openxmlformats.org/officeDocument/2006/relationships/hyperlink" Target="https://youtube.com/user/USConsulateIstanbul" TargetMode="External"/><Relationship Id="rId318" Type="http://schemas.openxmlformats.org/officeDocument/2006/relationships/hyperlink" Target="https://x.com/ABDIstanbul" TargetMode="External"/><Relationship Id="rId317" Type="http://schemas.openxmlformats.org/officeDocument/2006/relationships/hyperlink" Target="https://www.instagram.com/usconsistanbul/" TargetMode="External"/><Relationship Id="rId312" Type="http://schemas.openxmlformats.org/officeDocument/2006/relationships/hyperlink" Target="https://youtube.com/@USEmbassyBern" TargetMode="External"/><Relationship Id="rId311" Type="http://schemas.openxmlformats.org/officeDocument/2006/relationships/hyperlink" Target="https://x.com/USEmbassyBern" TargetMode="External"/><Relationship Id="rId310" Type="http://schemas.openxmlformats.org/officeDocument/2006/relationships/hyperlink" Target="https://www.instagram.com/usembassybern" TargetMode="External"/></Relationships>
</file>

<file path=xl/worksheets/_rels/sheet5.xml.rels><?xml version="1.0" encoding="UTF-8" standalone="yes"?><Relationships xmlns="http://schemas.openxmlformats.org/package/2006/relationships"><Relationship Id="rId41" Type="http://schemas.openxmlformats.org/officeDocument/2006/relationships/table" Target="../tables/table1.xml"/><Relationship Id="rId31" Type="http://schemas.openxmlformats.org/officeDocument/2006/relationships/hyperlink" Target="https://x.com/USAmbCD" TargetMode="External"/><Relationship Id="rId30" Type="http://schemas.openxmlformats.org/officeDocument/2006/relationships/hyperlink" Target="https://www.linkedin.com/company/bureau-of-international-organization-affairs" TargetMode="External"/><Relationship Id="rId33" Type="http://schemas.openxmlformats.org/officeDocument/2006/relationships/hyperlink" Target="https://x.com/usambun" TargetMode="External"/><Relationship Id="rId32" Type="http://schemas.openxmlformats.org/officeDocument/2006/relationships/hyperlink" Target="https://x.com/AmbUNReform" TargetMode="External"/><Relationship Id="rId35" Type="http://schemas.openxmlformats.org/officeDocument/2006/relationships/hyperlink" Target="https://x.com/USUNSpox" TargetMode="External"/><Relationship Id="rId34" Type="http://schemas.openxmlformats.org/officeDocument/2006/relationships/hyperlink" Target="https://facebook.com/USattheUN" TargetMode="External"/><Relationship Id="rId37" Type="http://schemas.openxmlformats.org/officeDocument/2006/relationships/hyperlink" Target="https://x.com/USUN" TargetMode="External"/><Relationship Id="rId36" Type="http://schemas.openxmlformats.org/officeDocument/2006/relationships/hyperlink" Target="https://www.instagram.com/usun" TargetMode="External"/><Relationship Id="rId39" Type="http://schemas.openxmlformats.org/officeDocument/2006/relationships/drawing" Target="../drawings/drawing5.xml"/><Relationship Id="rId38" Type="http://schemas.openxmlformats.org/officeDocument/2006/relationships/hyperlink" Target="https://x.com/USAmbICAO" TargetMode="External"/><Relationship Id="rId20" Type="http://schemas.openxmlformats.org/officeDocument/2006/relationships/hyperlink" Target="https://www.flickr.com/photos/us-mission/" TargetMode="External"/><Relationship Id="rId22" Type="http://schemas.openxmlformats.org/officeDocument/2006/relationships/hyperlink" Target="https://www.instagram.com/usmissiongeneva/" TargetMode="External"/><Relationship Id="rId21" Type="http://schemas.openxmlformats.org/officeDocument/2006/relationships/hyperlink" Target="https://x.com/usmissiongeneva" TargetMode="External"/><Relationship Id="rId24" Type="http://schemas.openxmlformats.org/officeDocument/2006/relationships/hyperlink" Target="https://www.youtube.com/@usmissiongeneva" TargetMode="External"/><Relationship Id="rId23" Type="http://schemas.openxmlformats.org/officeDocument/2006/relationships/hyperlink" Target="https://www.linkedin.com/company/usmissiongeneva/" TargetMode="External"/><Relationship Id="rId26" Type="http://schemas.openxmlformats.org/officeDocument/2006/relationships/hyperlink" Target="https://x.com/USAmbHRC" TargetMode="External"/><Relationship Id="rId25" Type="http://schemas.openxmlformats.org/officeDocument/2006/relationships/hyperlink" Target="https://x.com/USAmbCD" TargetMode="External"/><Relationship Id="rId28" Type="http://schemas.openxmlformats.org/officeDocument/2006/relationships/hyperlink" Target="https://x.com/State_IO" TargetMode="External"/><Relationship Id="rId27" Type="http://schemas.openxmlformats.org/officeDocument/2006/relationships/hyperlink" Target="https://x.com/usambgva" TargetMode="External"/><Relationship Id="rId29" Type="http://schemas.openxmlformats.org/officeDocument/2006/relationships/hyperlink" Target="https://www.youtube.com/@StateIOVideo" TargetMode="External"/><Relationship Id="rId11" Type="http://schemas.openxmlformats.org/officeDocument/2006/relationships/hyperlink" Target="https://x.com/US_AU" TargetMode="External"/><Relationship Id="rId10" Type="http://schemas.openxmlformats.org/officeDocument/2006/relationships/hyperlink" Target="https://www.facebook.com/USAU09/" TargetMode="External"/><Relationship Id="rId13" Type="http://schemas.openxmlformats.org/officeDocument/2006/relationships/hyperlink" Target="https://x.com/USUNRomeAmb" TargetMode="External"/><Relationship Id="rId12" Type="http://schemas.openxmlformats.org/officeDocument/2006/relationships/hyperlink" Target="https://x.com/USUNESCO" TargetMode="External"/><Relationship Id="rId15" Type="http://schemas.openxmlformats.org/officeDocument/2006/relationships/hyperlink" Target="https://www.instagram.com/usunrome" TargetMode="External"/><Relationship Id="rId14" Type="http://schemas.openxmlformats.org/officeDocument/2006/relationships/hyperlink" Target="https://www.facebook.com/usunrome/" TargetMode="External"/><Relationship Id="rId17" Type="http://schemas.openxmlformats.org/officeDocument/2006/relationships/hyperlink" Target="https://x.com/USUNRome" TargetMode="External"/><Relationship Id="rId16" Type="http://schemas.openxmlformats.org/officeDocument/2006/relationships/hyperlink" Target="https://www.linkedin.com/company/us-mission-to-the-un-agencies-in-rome/" TargetMode="External"/><Relationship Id="rId19" Type="http://schemas.openxmlformats.org/officeDocument/2006/relationships/hyperlink" Target="https://facebook.com/usmissiongeneva" TargetMode="External"/><Relationship Id="rId18" Type="http://schemas.openxmlformats.org/officeDocument/2006/relationships/hyperlink" Target="https://www.youtube.com/@USUNRome" TargetMode="External"/><Relationship Id="rId1" Type="http://schemas.openxmlformats.org/officeDocument/2006/relationships/hyperlink" Target="https://facebook.com/usunvie" TargetMode="External"/><Relationship Id="rId2" Type="http://schemas.openxmlformats.org/officeDocument/2006/relationships/hyperlink" Target="https://www.instagram.com/usunvie" TargetMode="External"/><Relationship Id="rId3" Type="http://schemas.openxmlformats.org/officeDocument/2006/relationships/hyperlink" Target="https://www.linkedin.com/company/usunvie" TargetMode="External"/><Relationship Id="rId4" Type="http://schemas.openxmlformats.org/officeDocument/2006/relationships/hyperlink" Target="https://x.com/usunvie" TargetMode="External"/><Relationship Id="rId9" Type="http://schemas.openxmlformats.org/officeDocument/2006/relationships/hyperlink" Target="https://vk.com/usosce" TargetMode="External"/><Relationship Id="rId5" Type="http://schemas.openxmlformats.org/officeDocument/2006/relationships/hyperlink" Target="https://www.youtube.com/@usunvie" TargetMode="External"/><Relationship Id="rId6" Type="http://schemas.openxmlformats.org/officeDocument/2006/relationships/hyperlink" Target="https://www.facebook.com/USOSCE/" TargetMode="External"/><Relationship Id="rId7" Type="http://schemas.openxmlformats.org/officeDocument/2006/relationships/hyperlink" Target="https://x.com/usosce" TargetMode="External"/><Relationship Id="rId8" Type="http://schemas.openxmlformats.org/officeDocument/2006/relationships/hyperlink" Target="https://x.com/USAmbOSCE" TargetMode="External"/></Relationships>
</file>

<file path=xl/worksheets/_rels/sheet6.xml.rels><?xml version="1.0" encoding="UTF-8" standalone="yes"?><Relationships xmlns="http://schemas.openxmlformats.org/package/2006/relationships"><Relationship Id="rId40" Type="http://schemas.openxmlformats.org/officeDocument/2006/relationships/hyperlink" Target="https://youtube.com/user/usembassyamman" TargetMode="External"/><Relationship Id="rId42" Type="http://schemas.openxmlformats.org/officeDocument/2006/relationships/hyperlink" Target="https://www.facebook.com/USEmbassyQ8/" TargetMode="External"/><Relationship Id="rId41" Type="http://schemas.openxmlformats.org/officeDocument/2006/relationships/hyperlink" Target="https://x.com/USAmbKuwait" TargetMode="External"/><Relationship Id="rId44" Type="http://schemas.openxmlformats.org/officeDocument/2006/relationships/hyperlink" Target="https://www.instagram.com/usembassyq8" TargetMode="External"/><Relationship Id="rId43" Type="http://schemas.openxmlformats.org/officeDocument/2006/relationships/hyperlink" Target="https://www.flickr.com/photos/americanembassykuwait" TargetMode="External"/><Relationship Id="rId46" Type="http://schemas.openxmlformats.org/officeDocument/2006/relationships/hyperlink" Target="https://youtube.com/user/usembassyq8" TargetMode="External"/><Relationship Id="rId45" Type="http://schemas.openxmlformats.org/officeDocument/2006/relationships/hyperlink" Target="https://x.com/USEmbassyQ8" TargetMode="External"/><Relationship Id="rId48" Type="http://schemas.openxmlformats.org/officeDocument/2006/relationships/hyperlink" Target="https://www.facebook.com/USEmbassyBeirut/" TargetMode="External"/><Relationship Id="rId47" Type="http://schemas.openxmlformats.org/officeDocument/2006/relationships/hyperlink" Target="https://www.threads.net/@usembassyq8" TargetMode="External"/><Relationship Id="rId49" Type="http://schemas.openxmlformats.org/officeDocument/2006/relationships/hyperlink" Target="https://www.instagram.com/usembassybeirut" TargetMode="External"/><Relationship Id="rId31" Type="http://schemas.openxmlformats.org/officeDocument/2006/relationships/hyperlink" Target="https://youtube.com/user/USEmbassyTelAviv" TargetMode="External"/><Relationship Id="rId30" Type="http://schemas.openxmlformats.org/officeDocument/2006/relationships/hyperlink" Target="https://x.com/usembassyjlm" TargetMode="External"/><Relationship Id="rId33" Type="http://schemas.openxmlformats.org/officeDocument/2006/relationships/hyperlink" Target="https://www.instagram.com/uspalestinianaffairs/" TargetMode="External"/><Relationship Id="rId32" Type="http://schemas.openxmlformats.org/officeDocument/2006/relationships/hyperlink" Target="https://www.facebook.com/USPalestinianAffairs/" TargetMode="External"/><Relationship Id="rId35" Type="http://schemas.openxmlformats.org/officeDocument/2006/relationships/hyperlink" Target="https://youtube.com/user/UsConGenJerusalem" TargetMode="External"/><Relationship Id="rId34" Type="http://schemas.openxmlformats.org/officeDocument/2006/relationships/hyperlink" Target="https://x.com/USPalAffairs" TargetMode="External"/><Relationship Id="rId37" Type="http://schemas.openxmlformats.org/officeDocument/2006/relationships/hyperlink" Target="https://www.instagram.com/usembassyjordan" TargetMode="External"/><Relationship Id="rId36" Type="http://schemas.openxmlformats.org/officeDocument/2006/relationships/hyperlink" Target="https://www.facebook.com/jordan.usembassy/" TargetMode="External"/><Relationship Id="rId39" Type="http://schemas.openxmlformats.org/officeDocument/2006/relationships/hyperlink" Target="https://x.com/USEmbassyJordan" TargetMode="External"/><Relationship Id="rId38" Type="http://schemas.openxmlformats.org/officeDocument/2006/relationships/hyperlink" Target="https://www.linkedin.com/company/u-s-embassy-amman-jordan/" TargetMode="External"/><Relationship Id="rId20" Type="http://schemas.openxmlformats.org/officeDocument/2006/relationships/hyperlink" Target="https://www.facebook.com/USEmbassyBaghdad/" TargetMode="External"/><Relationship Id="rId22" Type="http://schemas.openxmlformats.org/officeDocument/2006/relationships/hyperlink" Target="https://x.com/USEmbBaghdad" TargetMode="External"/><Relationship Id="rId21" Type="http://schemas.openxmlformats.org/officeDocument/2006/relationships/hyperlink" Target="https://www.instagram.com/usembassybaghdad/" TargetMode="External"/><Relationship Id="rId24" Type="http://schemas.openxmlformats.org/officeDocument/2006/relationships/hyperlink" Target="https://x.com/USAmbIsrael" TargetMode="External"/><Relationship Id="rId23" Type="http://schemas.openxmlformats.org/officeDocument/2006/relationships/hyperlink" Target="https://youtube.com/user/usembassybaghdad" TargetMode="External"/><Relationship Id="rId26" Type="http://schemas.openxmlformats.org/officeDocument/2006/relationships/hyperlink" Target="https://www.flickr.com/photos/usembassyta" TargetMode="External"/><Relationship Id="rId25" Type="http://schemas.openxmlformats.org/officeDocument/2006/relationships/hyperlink" Target="https://www.facebook.com/USEmbassyJlm/" TargetMode="External"/><Relationship Id="rId28" Type="http://schemas.openxmlformats.org/officeDocument/2006/relationships/hyperlink" Target="https://www.linkedin.com/company/usembassyjlm/" TargetMode="External"/><Relationship Id="rId27" Type="http://schemas.openxmlformats.org/officeDocument/2006/relationships/hyperlink" Target="https://www.instagram.com/usembassyjlm/" TargetMode="External"/><Relationship Id="rId29" Type="http://schemas.openxmlformats.org/officeDocument/2006/relationships/hyperlink" Target="https://t.me/usembassyjerusalem" TargetMode="External"/><Relationship Id="rId11" Type="http://schemas.openxmlformats.org/officeDocument/2006/relationships/hyperlink" Target="https://www.flickr.com/photos/usembassycairo/" TargetMode="External"/><Relationship Id="rId10" Type="http://schemas.openxmlformats.org/officeDocument/2006/relationships/hyperlink" Target="https://www.facebook.com/USEmbassyCairo/" TargetMode="External"/><Relationship Id="rId13" Type="http://schemas.openxmlformats.org/officeDocument/2006/relationships/hyperlink" Target="https://x.com/USEmbassyCairo" TargetMode="External"/><Relationship Id="rId12" Type="http://schemas.openxmlformats.org/officeDocument/2006/relationships/hyperlink" Target="https://www.instagram.com/usembassycairo" TargetMode="External"/><Relationship Id="rId15" Type="http://schemas.openxmlformats.org/officeDocument/2006/relationships/hyperlink" Target="https://x.com/USAmbIraq" TargetMode="External"/><Relationship Id="rId14" Type="http://schemas.openxmlformats.org/officeDocument/2006/relationships/hyperlink" Target="https://www.youtube.com/@USEmbassyCairoEG" TargetMode="External"/><Relationship Id="rId17" Type="http://schemas.openxmlformats.org/officeDocument/2006/relationships/hyperlink" Target="https://www.facebook.com/USCGErbil/" TargetMode="External"/><Relationship Id="rId16" Type="http://schemas.openxmlformats.org/officeDocument/2006/relationships/hyperlink" Target="https://www.instagram.com/uscgerbil/" TargetMode="External"/><Relationship Id="rId19" Type="http://schemas.openxmlformats.org/officeDocument/2006/relationships/hyperlink" Target="https://www.youtube.com/@USCGERBIL" TargetMode="External"/><Relationship Id="rId18" Type="http://schemas.openxmlformats.org/officeDocument/2006/relationships/hyperlink" Target="https://x.com/USCGERBIL" TargetMode="External"/><Relationship Id="rId84" Type="http://schemas.openxmlformats.org/officeDocument/2006/relationships/hyperlink" Target="https://www.instagram.com/usainksa/" TargetMode="External"/><Relationship Id="rId83" Type="http://schemas.openxmlformats.org/officeDocument/2006/relationships/hyperlink" Target="https://www.facebook.com/USAinKSA/" TargetMode="External"/><Relationship Id="rId86" Type="http://schemas.openxmlformats.org/officeDocument/2006/relationships/hyperlink" Target="https://youtube.com/user/usembassyriyadh" TargetMode="External"/><Relationship Id="rId85" Type="http://schemas.openxmlformats.org/officeDocument/2006/relationships/hyperlink" Target="https://x.com/USAinKSA" TargetMode="External"/><Relationship Id="rId88" Type="http://schemas.openxmlformats.org/officeDocument/2006/relationships/hyperlink" Target="https://x.com/USEmbassySyria" TargetMode="External"/><Relationship Id="rId87" Type="http://schemas.openxmlformats.org/officeDocument/2006/relationships/hyperlink" Target="https://www.facebook.com/syria.usembassy/" TargetMode="External"/><Relationship Id="rId89" Type="http://schemas.openxmlformats.org/officeDocument/2006/relationships/hyperlink" Target="https://youtube.com/user/USEmbassyDamascus" TargetMode="External"/><Relationship Id="rId80" Type="http://schemas.openxmlformats.org/officeDocument/2006/relationships/hyperlink" Target="https://www.instagram.com/usconsulatejeddah/" TargetMode="External"/><Relationship Id="rId82" Type="http://schemas.openxmlformats.org/officeDocument/2006/relationships/hyperlink" Target="https://www.youtube.com/@USConsulateJed" TargetMode="External"/><Relationship Id="rId81" Type="http://schemas.openxmlformats.org/officeDocument/2006/relationships/hyperlink" Target="https://x.com/usconsulatejed" TargetMode="External"/><Relationship Id="rId1" Type="http://schemas.openxmlformats.org/officeDocument/2006/relationships/hyperlink" Target="https://x.com/USAmbtoAlgeria" TargetMode="External"/><Relationship Id="rId2" Type="http://schemas.openxmlformats.org/officeDocument/2006/relationships/hyperlink" Target="https://www.facebook.com/USEmbassyAlgiers/" TargetMode="External"/><Relationship Id="rId3" Type="http://schemas.openxmlformats.org/officeDocument/2006/relationships/hyperlink" Target="https://www.instagram.com/usembassyalgiers" TargetMode="External"/><Relationship Id="rId4" Type="http://schemas.openxmlformats.org/officeDocument/2006/relationships/hyperlink" Target="https://x.com/USEmbAlgiers" TargetMode="External"/><Relationship Id="rId9" Type="http://schemas.openxmlformats.org/officeDocument/2006/relationships/hyperlink" Target="https://youtube.com/user/USEmbassyManama" TargetMode="External"/><Relationship Id="rId5" Type="http://schemas.openxmlformats.org/officeDocument/2006/relationships/hyperlink" Target="https://youtube.com/user/USEmbassyAlgiers" TargetMode="External"/><Relationship Id="rId6" Type="http://schemas.openxmlformats.org/officeDocument/2006/relationships/hyperlink" Target="https://www.facebook.com/AmericanEmbassyManama/" TargetMode="External"/><Relationship Id="rId7" Type="http://schemas.openxmlformats.org/officeDocument/2006/relationships/hyperlink" Target="https://www.instagram.com/usembassybahrain" TargetMode="External"/><Relationship Id="rId8" Type="http://schemas.openxmlformats.org/officeDocument/2006/relationships/hyperlink" Target="https://x.com/USEmbassyManama" TargetMode="External"/><Relationship Id="rId73" Type="http://schemas.openxmlformats.org/officeDocument/2006/relationships/hyperlink" Target="https://x.com/USEmbassyDoha" TargetMode="External"/><Relationship Id="rId72" Type="http://schemas.openxmlformats.org/officeDocument/2006/relationships/hyperlink" Target="https://www.instagram.com/usembassydoha" TargetMode="External"/><Relationship Id="rId75" Type="http://schemas.openxmlformats.org/officeDocument/2006/relationships/hyperlink" Target="https://x.com/ksa_acs" TargetMode="External"/><Relationship Id="rId74" Type="http://schemas.openxmlformats.org/officeDocument/2006/relationships/hyperlink" Target="https://youtube.com/user/AmericanEmbassyDoha" TargetMode="External"/><Relationship Id="rId77" Type="http://schemas.openxmlformats.org/officeDocument/2006/relationships/hyperlink" Target="https://www.instagram.com/usconsulatedhahran/" TargetMode="External"/><Relationship Id="rId76" Type="http://schemas.openxmlformats.org/officeDocument/2006/relationships/hyperlink" Target="https://www.facebook.com/USConsulateGeneralDhahran" TargetMode="External"/><Relationship Id="rId79" Type="http://schemas.openxmlformats.org/officeDocument/2006/relationships/hyperlink" Target="https://www.facebook.com/usconsulatejeddah/" TargetMode="External"/><Relationship Id="rId78" Type="http://schemas.openxmlformats.org/officeDocument/2006/relationships/hyperlink" Target="https://x.com/usaindhahran" TargetMode="External"/><Relationship Id="rId71" Type="http://schemas.openxmlformats.org/officeDocument/2006/relationships/hyperlink" Target="https://www.facebook.com/USEmbassyDoha/" TargetMode="External"/><Relationship Id="rId70" Type="http://schemas.openxmlformats.org/officeDocument/2006/relationships/hyperlink" Target="https://x.com/USAmbQatar" TargetMode="External"/><Relationship Id="rId62" Type="http://schemas.openxmlformats.org/officeDocument/2006/relationships/hyperlink" Target="https://www.instagram.com/usembassymorocco" TargetMode="External"/><Relationship Id="rId61" Type="http://schemas.openxmlformats.org/officeDocument/2006/relationships/hyperlink" Target="https://www.flickr.com/photos/usembassyrabat" TargetMode="External"/><Relationship Id="rId64" Type="http://schemas.openxmlformats.org/officeDocument/2006/relationships/hyperlink" Target="https://x.com/USEmbMorocco" TargetMode="External"/><Relationship Id="rId63" Type="http://schemas.openxmlformats.org/officeDocument/2006/relationships/hyperlink" Target="https://www.linkedin.com/company/u-s-mission-morocco/" TargetMode="External"/><Relationship Id="rId66" Type="http://schemas.openxmlformats.org/officeDocument/2006/relationships/hyperlink" Target="https://www.facebook.com/USEmbassyMuscat/" TargetMode="External"/><Relationship Id="rId65" Type="http://schemas.openxmlformats.org/officeDocument/2006/relationships/hyperlink" Target="https://youtube.com/user/usembrabat" TargetMode="External"/><Relationship Id="rId68" Type="http://schemas.openxmlformats.org/officeDocument/2006/relationships/hyperlink" Target="https://x.com/USEmbMuscat" TargetMode="External"/><Relationship Id="rId67" Type="http://schemas.openxmlformats.org/officeDocument/2006/relationships/hyperlink" Target="https://www.instagram.com/usembassymuscat" TargetMode="External"/><Relationship Id="rId60" Type="http://schemas.openxmlformats.org/officeDocument/2006/relationships/hyperlink" Target="https://www.facebook.com/USEmbassyMorocco/" TargetMode="External"/><Relationship Id="rId69" Type="http://schemas.openxmlformats.org/officeDocument/2006/relationships/hyperlink" Target="https://youtube.com/user/USEmbassyMuscat" TargetMode="External"/><Relationship Id="rId51" Type="http://schemas.openxmlformats.org/officeDocument/2006/relationships/hyperlink" Target="https://www.youtube.com/@usinbeirut" TargetMode="External"/><Relationship Id="rId50" Type="http://schemas.openxmlformats.org/officeDocument/2006/relationships/hyperlink" Target="https://x.com/usembassybeirut" TargetMode="External"/><Relationship Id="rId53" Type="http://schemas.openxmlformats.org/officeDocument/2006/relationships/hyperlink" Target="https://www.facebook.com/USEmbassyLibya/" TargetMode="External"/><Relationship Id="rId52" Type="http://schemas.openxmlformats.org/officeDocument/2006/relationships/hyperlink" Target="https://whatsapp.com/channel/0029VaUiCFg6hENiACjfs51q" TargetMode="External"/><Relationship Id="rId55" Type="http://schemas.openxmlformats.org/officeDocument/2006/relationships/hyperlink" Target="https://x.com/USEmbassyLibya" TargetMode="External"/><Relationship Id="rId54" Type="http://schemas.openxmlformats.org/officeDocument/2006/relationships/hyperlink" Target="https://www.instagram.com/usembassylibya/" TargetMode="External"/><Relationship Id="rId57" Type="http://schemas.openxmlformats.org/officeDocument/2006/relationships/hyperlink" Target="https://www.facebook.com/DarAmericaCasablanca/" TargetMode="External"/><Relationship Id="rId56" Type="http://schemas.openxmlformats.org/officeDocument/2006/relationships/hyperlink" Target="https://youtube.com/user/USEmbassyTripoli" TargetMode="External"/><Relationship Id="rId59" Type="http://schemas.openxmlformats.org/officeDocument/2006/relationships/hyperlink" Target="https://x.com/USAmbMorocco" TargetMode="External"/><Relationship Id="rId58" Type="http://schemas.openxmlformats.org/officeDocument/2006/relationships/hyperlink" Target="https://www.instagram.com/daramericacasablanca/" TargetMode="External"/><Relationship Id="rId107" Type="http://schemas.openxmlformats.org/officeDocument/2006/relationships/hyperlink" Target="https://www.facebook.com/USEmbassyYemen/" TargetMode="External"/><Relationship Id="rId106" Type="http://schemas.openxmlformats.org/officeDocument/2006/relationships/hyperlink" Target="https://x.com/USAbehFarsi" TargetMode="External"/><Relationship Id="rId105" Type="http://schemas.openxmlformats.org/officeDocument/2006/relationships/hyperlink" Target="https://www.instagram.com/usabehfarsi/" TargetMode="External"/><Relationship Id="rId104" Type="http://schemas.openxmlformats.org/officeDocument/2006/relationships/hyperlink" Target="https://www.facebook.com/USAbehFarsi/" TargetMode="External"/><Relationship Id="rId109" Type="http://schemas.openxmlformats.org/officeDocument/2006/relationships/hyperlink" Target="https://youtube.com/user/USEmbassyYemen" TargetMode="External"/><Relationship Id="rId108" Type="http://schemas.openxmlformats.org/officeDocument/2006/relationships/hyperlink" Target="https://x.com/USEmbassyYemen" TargetMode="External"/><Relationship Id="rId103" Type="http://schemas.openxmlformats.org/officeDocument/2006/relationships/hyperlink" Target="https://x.com/USMEPI" TargetMode="External"/><Relationship Id="rId102" Type="http://schemas.openxmlformats.org/officeDocument/2006/relationships/hyperlink" Target="https://www.facebook.com/USMEPI/" TargetMode="External"/><Relationship Id="rId101" Type="http://schemas.openxmlformats.org/officeDocument/2006/relationships/hyperlink" Target="https://x.com/StateDept_NEA" TargetMode="External"/><Relationship Id="rId100" Type="http://schemas.openxmlformats.org/officeDocument/2006/relationships/hyperlink" Target="https://youtube.com/user/USEmbUAE" TargetMode="External"/><Relationship Id="rId95" Type="http://schemas.openxmlformats.org/officeDocument/2006/relationships/hyperlink" Target="https://youtube.com/user/usembassytunis" TargetMode="External"/><Relationship Id="rId94" Type="http://schemas.openxmlformats.org/officeDocument/2006/relationships/hyperlink" Target="https://x.com/usembassytunis" TargetMode="External"/><Relationship Id="rId97" Type="http://schemas.openxmlformats.org/officeDocument/2006/relationships/hyperlink" Target="https://www.instagram.com/usainuae" TargetMode="External"/><Relationship Id="rId96" Type="http://schemas.openxmlformats.org/officeDocument/2006/relationships/hyperlink" Target="https://www.facebook.com/USAinUAE/" TargetMode="External"/><Relationship Id="rId99" Type="http://schemas.openxmlformats.org/officeDocument/2006/relationships/hyperlink" Target="https://x.com/USAinUAE" TargetMode="External"/><Relationship Id="rId98" Type="http://schemas.openxmlformats.org/officeDocument/2006/relationships/hyperlink" Target="https://www.linkedin.com/company/usainuae/" TargetMode="External"/><Relationship Id="rId91" Type="http://schemas.openxmlformats.org/officeDocument/2006/relationships/hyperlink" Target="https://www.flickr.com/photos/usembassytunis/" TargetMode="External"/><Relationship Id="rId90" Type="http://schemas.openxmlformats.org/officeDocument/2006/relationships/hyperlink" Target="https://www.facebook.com/usembassytunis/" TargetMode="External"/><Relationship Id="rId93" Type="http://schemas.openxmlformats.org/officeDocument/2006/relationships/hyperlink" Target="https://www.linkedin.com/company/usembassytunis/" TargetMode="External"/><Relationship Id="rId92" Type="http://schemas.openxmlformats.org/officeDocument/2006/relationships/hyperlink" Target="https://www.instagram.com/usembassytunis/" TargetMode="External"/><Relationship Id="rId110" Type="http://schemas.openxmlformats.org/officeDocument/2006/relationships/hyperlink" Target="https://whatsapp.com/channel/0029VaKCAmaC6ZvmIO6Qc81u" TargetMode="External"/><Relationship Id="rId112" Type="http://schemas.openxmlformats.org/officeDocument/2006/relationships/drawing" Target="../drawings/drawing6.xml"/><Relationship Id="rId111" Type="http://schemas.openxmlformats.org/officeDocument/2006/relationships/hyperlink" Target="https://www.instagram.com/usembassyyemen/" TargetMode="External"/></Relationships>
</file>

<file path=xl/worksheets/_rels/sheet7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instagram.com/usambkz/" TargetMode="External"/><Relationship Id="rId42" Type="http://schemas.openxmlformats.org/officeDocument/2006/relationships/hyperlink" Target="https://www.youtube.com/user/usembassyastana" TargetMode="External"/><Relationship Id="rId41" Type="http://schemas.openxmlformats.org/officeDocument/2006/relationships/hyperlink" Target="https://x.com/USEmbassyKAZ" TargetMode="External"/><Relationship Id="rId44" Type="http://schemas.openxmlformats.org/officeDocument/2006/relationships/hyperlink" Target="https://www.instagram.com/usembassybishkek" TargetMode="External"/><Relationship Id="rId43" Type="http://schemas.openxmlformats.org/officeDocument/2006/relationships/hyperlink" Target="https://www.facebook.com/usembassy.bishkek/" TargetMode="External"/><Relationship Id="rId46" Type="http://schemas.openxmlformats.org/officeDocument/2006/relationships/hyperlink" Target="https://t.me/USEmbassyKG" TargetMode="External"/><Relationship Id="rId45" Type="http://schemas.openxmlformats.org/officeDocument/2006/relationships/hyperlink" Target="https://x.com/USEmbassyKG" TargetMode="External"/><Relationship Id="rId48" Type="http://schemas.openxmlformats.org/officeDocument/2006/relationships/hyperlink" Target="https://x.com/USinMaldives" TargetMode="External"/><Relationship Id="rId47" Type="http://schemas.openxmlformats.org/officeDocument/2006/relationships/hyperlink" Target="https://www.youtube.com/user/USEmbassyBishkek" TargetMode="External"/><Relationship Id="rId49" Type="http://schemas.openxmlformats.org/officeDocument/2006/relationships/hyperlink" Target="https://www.facebook.com/USinMV/" TargetMode="External"/><Relationship Id="rId31" Type="http://schemas.openxmlformats.org/officeDocument/2006/relationships/hyperlink" Target="https://www.instagram.com/usembassyindia" TargetMode="External"/><Relationship Id="rId30" Type="http://schemas.openxmlformats.org/officeDocument/2006/relationships/hyperlink" Target="https://www.facebook.com/India.usembassy/" TargetMode="External"/><Relationship Id="rId33" Type="http://schemas.openxmlformats.org/officeDocument/2006/relationships/hyperlink" Target="https://www.flickr.com/photos/usembassynewdelhi/" TargetMode="External"/><Relationship Id="rId32" Type="http://schemas.openxmlformats.org/officeDocument/2006/relationships/hyperlink" Target="https://x.com/USAndIndia" TargetMode="External"/><Relationship Id="rId35" Type="http://schemas.openxmlformats.org/officeDocument/2006/relationships/hyperlink" Target="https://www.facebook.com/uscgalmaty/" TargetMode="External"/><Relationship Id="rId34" Type="http://schemas.openxmlformats.org/officeDocument/2006/relationships/hyperlink" Target="https://www.youtube.com/@USEmbassyNewDelhi" TargetMode="External"/><Relationship Id="rId37" Type="http://schemas.openxmlformats.org/officeDocument/2006/relationships/hyperlink" Target="https://x.com/USCGAlmaty" TargetMode="External"/><Relationship Id="rId36" Type="http://schemas.openxmlformats.org/officeDocument/2006/relationships/hyperlink" Target="https://www.instagram.com/uscgalmaty" TargetMode="External"/><Relationship Id="rId39" Type="http://schemas.openxmlformats.org/officeDocument/2006/relationships/hyperlink" Target="https://www.instagram.com/usinkz" TargetMode="External"/><Relationship Id="rId38" Type="http://schemas.openxmlformats.org/officeDocument/2006/relationships/hyperlink" Target="https://www.facebook.com/usinkaz/" TargetMode="External"/><Relationship Id="rId20" Type="http://schemas.openxmlformats.org/officeDocument/2006/relationships/hyperlink" Target="https://www.facebook.com/Kolkata.usconsulate/" TargetMode="External"/><Relationship Id="rId22" Type="http://schemas.openxmlformats.org/officeDocument/2006/relationships/hyperlink" Target="https://www.youtube.com/user/AmCenterKolkata" TargetMode="External"/><Relationship Id="rId21" Type="http://schemas.openxmlformats.org/officeDocument/2006/relationships/hyperlink" Target="https://www.instagram.com/usandkolkata" TargetMode="External"/><Relationship Id="rId24" Type="http://schemas.openxmlformats.org/officeDocument/2006/relationships/hyperlink" Target="https://www.facebook.com/Mumbai.usconsulate/" TargetMode="External"/><Relationship Id="rId23" Type="http://schemas.openxmlformats.org/officeDocument/2006/relationships/hyperlink" Target="https://x.com/USAndKolkata" TargetMode="External"/><Relationship Id="rId26" Type="http://schemas.openxmlformats.org/officeDocument/2006/relationships/hyperlink" Target="https://x.com/USAndMumbai" TargetMode="External"/><Relationship Id="rId25" Type="http://schemas.openxmlformats.org/officeDocument/2006/relationships/hyperlink" Target="https://www.instagram.com/usconsulategeneralmumbai" TargetMode="External"/><Relationship Id="rId28" Type="http://schemas.openxmlformats.org/officeDocument/2006/relationships/hyperlink" Target="https://www.flickr.com/photos/usconsulatemumbai/sets" TargetMode="External"/><Relationship Id="rId27" Type="http://schemas.openxmlformats.org/officeDocument/2006/relationships/hyperlink" Target="https://www.linkedin.com/company/u-s-consulate-general-mumbai/" TargetMode="External"/><Relationship Id="rId29" Type="http://schemas.openxmlformats.org/officeDocument/2006/relationships/hyperlink" Target="https://www.youtube.com/user/usconsulatemumbai" TargetMode="External"/><Relationship Id="rId11" Type="http://schemas.openxmlformats.org/officeDocument/2006/relationships/hyperlink" Target="https://www.facebook.com/chennai.usconsulate" TargetMode="External"/><Relationship Id="rId10" Type="http://schemas.openxmlformats.org/officeDocument/2006/relationships/hyperlink" Target="https://x.com/USAmbIndia" TargetMode="External"/><Relationship Id="rId13" Type="http://schemas.openxmlformats.org/officeDocument/2006/relationships/hyperlink" Target="https://x.com/USAndChennai" TargetMode="External"/><Relationship Id="rId12" Type="http://schemas.openxmlformats.org/officeDocument/2006/relationships/hyperlink" Target="https://www.instagram.com/usconsulatechennai" TargetMode="External"/><Relationship Id="rId15" Type="http://schemas.openxmlformats.org/officeDocument/2006/relationships/hyperlink" Target="https://www.facebook.com/usconsulategeneralhyderabad/" TargetMode="External"/><Relationship Id="rId14" Type="http://schemas.openxmlformats.org/officeDocument/2006/relationships/hyperlink" Target="https://www.youtube.com/user/AmConGenChennai" TargetMode="External"/><Relationship Id="rId17" Type="http://schemas.openxmlformats.org/officeDocument/2006/relationships/hyperlink" Target="https://x.com/USAndHyderabad" TargetMode="External"/><Relationship Id="rId16" Type="http://schemas.openxmlformats.org/officeDocument/2006/relationships/hyperlink" Target="https://www.instagram.com/uscghyderabad" TargetMode="External"/><Relationship Id="rId19" Type="http://schemas.openxmlformats.org/officeDocument/2006/relationships/hyperlink" Target="https://youtube.com/user/USConsulateHyderabad" TargetMode="External"/><Relationship Id="rId18" Type="http://schemas.openxmlformats.org/officeDocument/2006/relationships/hyperlink" Target="https://x.com/USCGHyderabad" TargetMode="External"/><Relationship Id="rId84" Type="http://schemas.openxmlformats.org/officeDocument/2006/relationships/hyperlink" Target="https://www.facebook.com/usembassy.turkmenistan/" TargetMode="External"/><Relationship Id="rId83" Type="http://schemas.openxmlformats.org/officeDocument/2006/relationships/hyperlink" Target="https://t.me/usembassydushanbe" TargetMode="External"/><Relationship Id="rId86" Type="http://schemas.openxmlformats.org/officeDocument/2006/relationships/hyperlink" Target="https://www.youtube.com/user/IRCAshgabat" TargetMode="External"/><Relationship Id="rId85" Type="http://schemas.openxmlformats.org/officeDocument/2006/relationships/hyperlink" Target="https://www.instagram.com/usembassyashgabat" TargetMode="External"/><Relationship Id="rId88" Type="http://schemas.openxmlformats.org/officeDocument/2006/relationships/hyperlink" Target="https://x.com/US4AfghanPeace" TargetMode="External"/><Relationship Id="rId87" Type="http://schemas.openxmlformats.org/officeDocument/2006/relationships/hyperlink" Target="https://x.com/State_SCA" TargetMode="External"/><Relationship Id="rId89" Type="http://schemas.openxmlformats.org/officeDocument/2006/relationships/hyperlink" Target="https://x.com/UsAmbUzbekistan" TargetMode="External"/><Relationship Id="rId80" Type="http://schemas.openxmlformats.org/officeDocument/2006/relationships/hyperlink" Target="https://www.facebook.com/usembassy.dushanbe/" TargetMode="External"/><Relationship Id="rId82" Type="http://schemas.openxmlformats.org/officeDocument/2006/relationships/hyperlink" Target="https://x.com/USEmbDushanbe" TargetMode="External"/><Relationship Id="rId81" Type="http://schemas.openxmlformats.org/officeDocument/2006/relationships/hyperlink" Target="https://www.instagram.com/usembassydushanbe" TargetMode="External"/><Relationship Id="rId1" Type="http://schemas.openxmlformats.org/officeDocument/2006/relationships/hyperlink" Target="https://x.com/USAmbKabul" TargetMode="External"/><Relationship Id="rId2" Type="http://schemas.openxmlformats.org/officeDocument/2006/relationships/hyperlink" Target="https://www.facebook.com/kabulusembassy/" TargetMode="External"/><Relationship Id="rId3" Type="http://schemas.openxmlformats.org/officeDocument/2006/relationships/hyperlink" Target="https://x.com/USEmbassyKabul" TargetMode="External"/><Relationship Id="rId4" Type="http://schemas.openxmlformats.org/officeDocument/2006/relationships/hyperlink" Target="https://x.com/USAmbKabul" TargetMode="External"/><Relationship Id="rId9" Type="http://schemas.openxmlformats.org/officeDocument/2006/relationships/hyperlink" Target="https://www.facebook.com/USandBhutan" TargetMode="External"/><Relationship Id="rId5" Type="http://schemas.openxmlformats.org/officeDocument/2006/relationships/hyperlink" Target="https://www.facebook.com/bangladesh.usembassy/" TargetMode="External"/><Relationship Id="rId6" Type="http://schemas.openxmlformats.org/officeDocument/2006/relationships/hyperlink" Target="https://www.flickr.com/photos/usembassydhaka" TargetMode="External"/><Relationship Id="rId7" Type="http://schemas.openxmlformats.org/officeDocument/2006/relationships/hyperlink" Target="https://x.com/usembassydhaka" TargetMode="External"/><Relationship Id="rId8" Type="http://schemas.openxmlformats.org/officeDocument/2006/relationships/hyperlink" Target="https://www.youtube.com/user/TheUSEmbassyDhaka" TargetMode="External"/><Relationship Id="rId73" Type="http://schemas.openxmlformats.org/officeDocument/2006/relationships/hyperlink" Target="https://www.linkedin.com/company/u-s-embassy-pakistan/" TargetMode="External"/><Relationship Id="rId72" Type="http://schemas.openxmlformats.org/officeDocument/2006/relationships/hyperlink" Target="https://www.flickr.com/photos/usembpak/" TargetMode="External"/><Relationship Id="rId75" Type="http://schemas.openxmlformats.org/officeDocument/2006/relationships/hyperlink" Target="https://x.com/USAmbSL" TargetMode="External"/><Relationship Id="rId74" Type="http://schemas.openxmlformats.org/officeDocument/2006/relationships/hyperlink" Target="https://x.com/usembislamabad" TargetMode="External"/><Relationship Id="rId77" Type="http://schemas.openxmlformats.org/officeDocument/2006/relationships/hyperlink" Target="https://www.instagram.com/usembsl" TargetMode="External"/><Relationship Id="rId76" Type="http://schemas.openxmlformats.org/officeDocument/2006/relationships/hyperlink" Target="https://www.facebook.com/Colombo.USembassy/" TargetMode="External"/><Relationship Id="rId79" Type="http://schemas.openxmlformats.org/officeDocument/2006/relationships/hyperlink" Target="https://www.youtube.com/user/USEmbassySriLanka" TargetMode="External"/><Relationship Id="rId78" Type="http://schemas.openxmlformats.org/officeDocument/2006/relationships/hyperlink" Target="https://x.com/USEmbSL" TargetMode="External"/><Relationship Id="rId71" Type="http://schemas.openxmlformats.org/officeDocument/2006/relationships/hyperlink" Target="https://www.youtube.com/c/usembpak" TargetMode="External"/><Relationship Id="rId70" Type="http://schemas.openxmlformats.org/officeDocument/2006/relationships/hyperlink" Target="https://www.instagram.com/usembislamabad" TargetMode="External"/><Relationship Id="rId62" Type="http://schemas.openxmlformats.org/officeDocument/2006/relationships/hyperlink" Target="https://www.facebook.com/lahore.usconsulate/" TargetMode="External"/><Relationship Id="rId61" Type="http://schemas.openxmlformats.org/officeDocument/2006/relationships/hyperlink" Target="https://www.youtube.com/user/usconsulatekarachi" TargetMode="External"/><Relationship Id="rId64" Type="http://schemas.openxmlformats.org/officeDocument/2006/relationships/hyperlink" Target="https://www.flickr.com/photos/uscglahore/" TargetMode="External"/><Relationship Id="rId63" Type="http://schemas.openxmlformats.org/officeDocument/2006/relationships/hyperlink" Target="https://www.instagram.com/lahore.usconsulate" TargetMode="External"/><Relationship Id="rId66" Type="http://schemas.openxmlformats.org/officeDocument/2006/relationships/hyperlink" Target="https://www.facebook.com/peshawar.usconsulate/" TargetMode="External"/><Relationship Id="rId65" Type="http://schemas.openxmlformats.org/officeDocument/2006/relationships/hyperlink" Target="https://x.com/USCGLahore" TargetMode="External"/><Relationship Id="rId68" Type="http://schemas.openxmlformats.org/officeDocument/2006/relationships/hyperlink" Target="https://x.com/USCGPeshawar" TargetMode="External"/><Relationship Id="rId67" Type="http://schemas.openxmlformats.org/officeDocument/2006/relationships/hyperlink" Target="https://www.instagram.com/uscgpeshawar/" TargetMode="External"/><Relationship Id="rId60" Type="http://schemas.openxmlformats.org/officeDocument/2006/relationships/hyperlink" Target="https://www.flickr.com/photos/usconsulatekhi" TargetMode="External"/><Relationship Id="rId69" Type="http://schemas.openxmlformats.org/officeDocument/2006/relationships/hyperlink" Target="https://www.facebook.com/pakistan.usembassy/" TargetMode="External"/><Relationship Id="rId51" Type="http://schemas.openxmlformats.org/officeDocument/2006/relationships/hyperlink" Target="https://x.com/USAmbNepal" TargetMode="External"/><Relationship Id="rId50" Type="http://schemas.openxmlformats.org/officeDocument/2006/relationships/hyperlink" Target="https://www.instagram.com/usinmaldives/" TargetMode="External"/><Relationship Id="rId53" Type="http://schemas.openxmlformats.org/officeDocument/2006/relationships/hyperlink" Target="https://www.flickr.com/photos/usembassykathmandu" TargetMode="External"/><Relationship Id="rId52" Type="http://schemas.openxmlformats.org/officeDocument/2006/relationships/hyperlink" Target="https://www.facebook.com/nepal.usembassy/" TargetMode="External"/><Relationship Id="rId55" Type="http://schemas.openxmlformats.org/officeDocument/2006/relationships/hyperlink" Target="https://x.com/USEmbassyNepal" TargetMode="External"/><Relationship Id="rId54" Type="http://schemas.openxmlformats.org/officeDocument/2006/relationships/hyperlink" Target="https://www.instagram.com/usembassynepal" TargetMode="External"/><Relationship Id="rId57" Type="http://schemas.openxmlformats.org/officeDocument/2006/relationships/hyperlink" Target="https://www.facebook.com/karachi.usconsulate/" TargetMode="External"/><Relationship Id="rId56" Type="http://schemas.openxmlformats.org/officeDocument/2006/relationships/hyperlink" Target="https://www.youtube.com/user/usembassykathmandu" TargetMode="External"/><Relationship Id="rId59" Type="http://schemas.openxmlformats.org/officeDocument/2006/relationships/hyperlink" Target="https://x.com/usconsulatekhi" TargetMode="External"/><Relationship Id="rId58" Type="http://schemas.openxmlformats.org/officeDocument/2006/relationships/hyperlink" Target="https://www.instagram.com/usconsulate_khi" TargetMode="External"/><Relationship Id="rId95" Type="http://schemas.openxmlformats.org/officeDocument/2006/relationships/drawing" Target="../drawings/drawing7.xml"/><Relationship Id="rId94" Type="http://schemas.openxmlformats.org/officeDocument/2006/relationships/hyperlink" Target="https://x.com/usembtashkent" TargetMode="External"/><Relationship Id="rId91" Type="http://schemas.openxmlformats.org/officeDocument/2006/relationships/hyperlink" Target="https://www.instagram.com/usembassytashkent" TargetMode="External"/><Relationship Id="rId90" Type="http://schemas.openxmlformats.org/officeDocument/2006/relationships/hyperlink" Target="https://www.facebook.com/usdos.uzbekistan/" TargetMode="External"/><Relationship Id="rId93" Type="http://schemas.openxmlformats.org/officeDocument/2006/relationships/hyperlink" Target="https://t.me/USAUzbekistan" TargetMode="External"/><Relationship Id="rId92" Type="http://schemas.openxmlformats.org/officeDocument/2006/relationships/hyperlink" Target="https://www.youtube.com/user/usembassytashkent" TargetMode="External"/></Relationships>
</file>

<file path=xl/worksheets/_rels/sheet8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facebook.com/USConsulateCalgary/" TargetMode="External"/><Relationship Id="rId190" Type="http://schemas.openxmlformats.org/officeDocument/2006/relationships/hyperlink" Target="https://www.facebook.com/AmericanCitizenServicesLima/" TargetMode="External"/><Relationship Id="rId42" Type="http://schemas.openxmlformats.org/officeDocument/2006/relationships/hyperlink" Target="https://www.instagram.com/usconscalgary/" TargetMode="External"/><Relationship Id="rId41" Type="http://schemas.openxmlformats.org/officeDocument/2006/relationships/hyperlink" Target="https://x.com/usconscalgary" TargetMode="External"/><Relationship Id="rId44" Type="http://schemas.openxmlformats.org/officeDocument/2006/relationships/hyperlink" Target="https://www.facebook.com/usconsulatehalifax/" TargetMode="External"/><Relationship Id="rId194" Type="http://schemas.openxmlformats.org/officeDocument/2006/relationships/hyperlink" Target="https://x.com/USEMBASSYPERU" TargetMode="External"/><Relationship Id="rId43" Type="http://schemas.openxmlformats.org/officeDocument/2006/relationships/hyperlink" Target="https://x.com/usconshalifax" TargetMode="External"/><Relationship Id="rId193" Type="http://schemas.openxmlformats.org/officeDocument/2006/relationships/hyperlink" Target="https://www.instagram.com/usembassyperu" TargetMode="External"/><Relationship Id="rId46" Type="http://schemas.openxmlformats.org/officeDocument/2006/relationships/hyperlink" Target="https://www.instagram.com/usconsmontreal/" TargetMode="External"/><Relationship Id="rId192" Type="http://schemas.openxmlformats.org/officeDocument/2006/relationships/hyperlink" Target="https://www.facebook.com/usembassyperu/" TargetMode="External"/><Relationship Id="rId45" Type="http://schemas.openxmlformats.org/officeDocument/2006/relationships/hyperlink" Target="https://www.facebook.com/U.S.CGMontreal/" TargetMode="External"/><Relationship Id="rId191" Type="http://schemas.openxmlformats.org/officeDocument/2006/relationships/hyperlink" Target="https://x.com/USAmbPeru" TargetMode="External"/><Relationship Id="rId48" Type="http://schemas.openxmlformats.org/officeDocument/2006/relationships/hyperlink" Target="https://x.com/usconsmontreal" TargetMode="External"/><Relationship Id="rId187" Type="http://schemas.openxmlformats.org/officeDocument/2006/relationships/hyperlink" Target="https://x.com/laembajada" TargetMode="External"/><Relationship Id="rId47" Type="http://schemas.openxmlformats.org/officeDocument/2006/relationships/hyperlink" Target="https://www.linkedin.com/company/us-consulate-general-montr%C3%A9al/" TargetMode="External"/><Relationship Id="rId186" Type="http://schemas.openxmlformats.org/officeDocument/2006/relationships/hyperlink" Target="https://www.instagram.com/laembajada" TargetMode="External"/><Relationship Id="rId185" Type="http://schemas.openxmlformats.org/officeDocument/2006/relationships/hyperlink" Target="https://www.facebook.com/laembajada" TargetMode="External"/><Relationship Id="rId49" Type="http://schemas.openxmlformats.org/officeDocument/2006/relationships/hyperlink" Target="https://www.youtube.com/@u.s.consulategeneralmontre4502" TargetMode="External"/><Relationship Id="rId184" Type="http://schemas.openxmlformats.org/officeDocument/2006/relationships/hyperlink" Target="https://x.com/USAmbPY" TargetMode="External"/><Relationship Id="rId189" Type="http://schemas.openxmlformats.org/officeDocument/2006/relationships/hyperlink" Target="https://www.flickr.com/photos/laembajada" TargetMode="External"/><Relationship Id="rId188" Type="http://schemas.openxmlformats.org/officeDocument/2006/relationships/hyperlink" Target="https://youtube.com/user/EEUUParaguay" TargetMode="External"/><Relationship Id="rId31" Type="http://schemas.openxmlformats.org/officeDocument/2006/relationships/hyperlink" Target="https://www.facebook.com/ConsuladoEUASP/" TargetMode="External"/><Relationship Id="rId30" Type="http://schemas.openxmlformats.org/officeDocument/2006/relationships/hyperlink" Target="https://www.instagram.com/consuladoeua.rio" TargetMode="External"/><Relationship Id="rId33" Type="http://schemas.openxmlformats.org/officeDocument/2006/relationships/hyperlink" Target="https://www.facebook.com/EmbaixadadosEUA.BR" TargetMode="External"/><Relationship Id="rId183" Type="http://schemas.openxmlformats.org/officeDocument/2006/relationships/hyperlink" Target="https://www.flickr.com/photos/usembassypanama" TargetMode="External"/><Relationship Id="rId32" Type="http://schemas.openxmlformats.org/officeDocument/2006/relationships/hyperlink" Target="https://www.instagram.com/consuladoeuasp/" TargetMode="External"/><Relationship Id="rId182" Type="http://schemas.openxmlformats.org/officeDocument/2006/relationships/hyperlink" Target="https://www.linkedin.com/company/u-s-embassy-panama/" TargetMode="External"/><Relationship Id="rId35" Type="http://schemas.openxmlformats.org/officeDocument/2006/relationships/hyperlink" Target="https://www.instagram.com/embaixadaeua" TargetMode="External"/><Relationship Id="rId181" Type="http://schemas.openxmlformats.org/officeDocument/2006/relationships/hyperlink" Target="https://x.com/USEmbPAN" TargetMode="External"/><Relationship Id="rId34" Type="http://schemas.openxmlformats.org/officeDocument/2006/relationships/hyperlink" Target="https://www.flickr.com/photos/embaixadaeua-brasil/" TargetMode="External"/><Relationship Id="rId180" Type="http://schemas.openxmlformats.org/officeDocument/2006/relationships/hyperlink" Target="https://www.instagram.com/usembpan" TargetMode="External"/><Relationship Id="rId37" Type="http://schemas.openxmlformats.org/officeDocument/2006/relationships/hyperlink" Target="https://youtube.com/user/embaixadaeua" TargetMode="External"/><Relationship Id="rId176" Type="http://schemas.openxmlformats.org/officeDocument/2006/relationships/hyperlink" Target="https://www.linkedin.com/company/usembassymanagua/" TargetMode="External"/><Relationship Id="rId36" Type="http://schemas.openxmlformats.org/officeDocument/2006/relationships/hyperlink" Target="https://x.com/EmbaixadaEUA" TargetMode="External"/><Relationship Id="rId175" Type="http://schemas.openxmlformats.org/officeDocument/2006/relationships/hyperlink" Target="https://x.com/USEmbNicaragua" TargetMode="External"/><Relationship Id="rId39" Type="http://schemas.openxmlformats.org/officeDocument/2006/relationships/hyperlink" Target="https://x.com/usambcanada" TargetMode="External"/><Relationship Id="rId174" Type="http://schemas.openxmlformats.org/officeDocument/2006/relationships/hyperlink" Target="https://www.instagram.com/embusanic" TargetMode="External"/><Relationship Id="rId38" Type="http://schemas.openxmlformats.org/officeDocument/2006/relationships/hyperlink" Target="https://www.linkedin.com/company/embaixada-eua/" TargetMode="External"/><Relationship Id="rId173" Type="http://schemas.openxmlformats.org/officeDocument/2006/relationships/hyperlink" Target="https://www.facebook.com/embusanic/" TargetMode="External"/><Relationship Id="rId179" Type="http://schemas.openxmlformats.org/officeDocument/2006/relationships/hyperlink" Target="https://www.facebook.com/panamaestamosunidos/" TargetMode="External"/><Relationship Id="rId178" Type="http://schemas.openxmlformats.org/officeDocument/2006/relationships/hyperlink" Target="https://x.com/USAmbassadorPAN" TargetMode="External"/><Relationship Id="rId177" Type="http://schemas.openxmlformats.org/officeDocument/2006/relationships/hyperlink" Target="https://www.flickr.com/photos/usembassymga/" TargetMode="External"/><Relationship Id="rId20" Type="http://schemas.openxmlformats.org/officeDocument/2006/relationships/hyperlink" Target="https://www.flickr.com/photos/usembassybolivia/" TargetMode="External"/><Relationship Id="rId22" Type="http://schemas.openxmlformats.org/officeDocument/2006/relationships/hyperlink" Target="https://x.com/EmbEUAenBolivia" TargetMode="External"/><Relationship Id="rId21" Type="http://schemas.openxmlformats.org/officeDocument/2006/relationships/hyperlink" Target="https://www.instagram.com/usembassybolivia" TargetMode="External"/><Relationship Id="rId24" Type="http://schemas.openxmlformats.org/officeDocument/2006/relationships/hyperlink" Target="https://soundcloud.com/usembassylapaz" TargetMode="External"/><Relationship Id="rId23" Type="http://schemas.openxmlformats.org/officeDocument/2006/relationships/hyperlink" Target="https://youtube.com/user/USEMBASSYLAPAZ" TargetMode="External"/><Relationship Id="rId26" Type="http://schemas.openxmlformats.org/officeDocument/2006/relationships/hyperlink" Target="https://whatsapp.com/channel/0029Vairm8jBKfhzWYUh5v1i" TargetMode="External"/><Relationship Id="rId25" Type="http://schemas.openxmlformats.org/officeDocument/2006/relationships/hyperlink" Target="https://x.com/USCitsBrazil" TargetMode="External"/><Relationship Id="rId28" Type="http://schemas.openxmlformats.org/officeDocument/2006/relationships/hyperlink" Target="https://www.instagram.com/consuladoeua_nordeste" TargetMode="External"/><Relationship Id="rId27" Type="http://schemas.openxmlformats.org/officeDocument/2006/relationships/hyperlink" Target="https://x.com/USAmbBR" TargetMode="External"/><Relationship Id="rId29" Type="http://schemas.openxmlformats.org/officeDocument/2006/relationships/hyperlink" Target="https://www.facebook.com/consuladoeuarj.br/" TargetMode="External"/><Relationship Id="rId11" Type="http://schemas.openxmlformats.org/officeDocument/2006/relationships/hyperlink" Target="https://x.com/USEmbassyBTown" TargetMode="External"/><Relationship Id="rId10" Type="http://schemas.openxmlformats.org/officeDocument/2006/relationships/hyperlink" Target="https://www.instagram.com/usembassybridgetown/" TargetMode="External"/><Relationship Id="rId13" Type="http://schemas.openxmlformats.org/officeDocument/2006/relationships/hyperlink" Target="https://youtube.com/user/USEmbassyBridgetown" TargetMode="External"/><Relationship Id="rId12" Type="http://schemas.openxmlformats.org/officeDocument/2006/relationships/hyperlink" Target="https://www.linkedin.com/company/u-s-embassy-bridgetown/" TargetMode="External"/><Relationship Id="rId15" Type="http://schemas.openxmlformats.org/officeDocument/2006/relationships/hyperlink" Target="https://www.facebook.com/USMissionBelize/" TargetMode="External"/><Relationship Id="rId198" Type="http://schemas.openxmlformats.org/officeDocument/2006/relationships/hyperlink" Target="https://x.com/USEmbassyParbo" TargetMode="External"/><Relationship Id="rId14" Type="http://schemas.openxmlformats.org/officeDocument/2006/relationships/hyperlink" Target="https://www.flickr.com/photos/pasbridgetown" TargetMode="External"/><Relationship Id="rId197" Type="http://schemas.openxmlformats.org/officeDocument/2006/relationships/hyperlink" Target="https://www.facebook.com/Embassy.Paramaribo/" TargetMode="External"/><Relationship Id="rId17" Type="http://schemas.openxmlformats.org/officeDocument/2006/relationships/hyperlink" Target="https://x.com/USMissionBelize" TargetMode="External"/><Relationship Id="rId196" Type="http://schemas.openxmlformats.org/officeDocument/2006/relationships/hyperlink" Target="https://www.flickr.com/photos/usembassyperu" TargetMode="External"/><Relationship Id="rId16" Type="http://schemas.openxmlformats.org/officeDocument/2006/relationships/hyperlink" Target="https://www.instagram.com/usmissionbelize/" TargetMode="External"/><Relationship Id="rId195" Type="http://schemas.openxmlformats.org/officeDocument/2006/relationships/hyperlink" Target="https://youtube.com/user/USEMBASSYPERU" TargetMode="External"/><Relationship Id="rId19" Type="http://schemas.openxmlformats.org/officeDocument/2006/relationships/hyperlink" Target="https://www.facebook.com/usdos.bolivia/" TargetMode="External"/><Relationship Id="rId18" Type="http://schemas.openxmlformats.org/officeDocument/2006/relationships/hyperlink" Target="https://youtube.com/channel/UCYwtJ0EVVwoq5MwjfPbHmNw" TargetMode="External"/><Relationship Id="rId199" Type="http://schemas.openxmlformats.org/officeDocument/2006/relationships/hyperlink" Target="https://www.youtube.com/channel/UCHzESEBzSH9JoYDg_H2fg5g" TargetMode="External"/><Relationship Id="rId84" Type="http://schemas.openxmlformats.org/officeDocument/2006/relationships/hyperlink" Target="https://www.linkedin.com/company/u-s-embassy-in-costa-rica/" TargetMode="External"/><Relationship Id="rId83" Type="http://schemas.openxmlformats.org/officeDocument/2006/relationships/hyperlink" Target="https://youtube.com/user/usembassysjo" TargetMode="External"/><Relationship Id="rId86" Type="http://schemas.openxmlformats.org/officeDocument/2006/relationships/hyperlink" Target="https://www.facebook.com/USEmbCuba/" TargetMode="External"/><Relationship Id="rId85" Type="http://schemas.openxmlformats.org/officeDocument/2006/relationships/hyperlink" Target="https://www.flickr.com/photos/usembassysjo/" TargetMode="External"/><Relationship Id="rId88" Type="http://schemas.openxmlformats.org/officeDocument/2006/relationships/hyperlink" Target="https://x.com/USEmbCuba" TargetMode="External"/><Relationship Id="rId150" Type="http://schemas.openxmlformats.org/officeDocument/2006/relationships/hyperlink" Target="https://www.facebook.com/ConsuladoEstadosUnidosMerida/" TargetMode="External"/><Relationship Id="rId87" Type="http://schemas.openxmlformats.org/officeDocument/2006/relationships/hyperlink" Target="https://www.instagram.com/usembcuba/" TargetMode="External"/><Relationship Id="rId89" Type="http://schemas.openxmlformats.org/officeDocument/2006/relationships/hyperlink" Target="https://www.facebook.com/curacao.usconsulate/" TargetMode="External"/><Relationship Id="rId80" Type="http://schemas.openxmlformats.org/officeDocument/2006/relationships/hyperlink" Target="https://www.facebook.com/sanjose.usembassy/" TargetMode="External"/><Relationship Id="rId82" Type="http://schemas.openxmlformats.org/officeDocument/2006/relationships/hyperlink" Target="https://x.com/usembassysjo" TargetMode="External"/><Relationship Id="rId81" Type="http://schemas.openxmlformats.org/officeDocument/2006/relationships/hyperlink" Target="https://www.instagram.com/usembassysjo/" TargetMode="External"/><Relationship Id="rId1" Type="http://schemas.openxmlformats.org/officeDocument/2006/relationships/hyperlink" Target="https://x.com/USAmbassadorARG" TargetMode="External"/><Relationship Id="rId2" Type="http://schemas.openxmlformats.org/officeDocument/2006/relationships/hyperlink" Target="https://www.facebook.com/EmbUSARG/" TargetMode="External"/><Relationship Id="rId3" Type="http://schemas.openxmlformats.org/officeDocument/2006/relationships/hyperlink" Target="https://x.com/EmbajadaEEUUarg" TargetMode="External"/><Relationship Id="rId149" Type="http://schemas.openxmlformats.org/officeDocument/2006/relationships/hyperlink" Target="https://youtube.com/user/uscgmatamoros" TargetMode="External"/><Relationship Id="rId4" Type="http://schemas.openxmlformats.org/officeDocument/2006/relationships/hyperlink" Target="https://x.com/USEmbArgentina" TargetMode="External"/><Relationship Id="rId148" Type="http://schemas.openxmlformats.org/officeDocument/2006/relationships/hyperlink" Target="https://x.com/USCGMatamoros" TargetMode="External"/><Relationship Id="rId9" Type="http://schemas.openxmlformats.org/officeDocument/2006/relationships/hyperlink" Target="https://www.facebook.com/USEmbassyBarbados/" TargetMode="External"/><Relationship Id="rId143" Type="http://schemas.openxmlformats.org/officeDocument/2006/relationships/hyperlink" Target="https://www.facebook.com/USCGCdJuarez/" TargetMode="External"/><Relationship Id="rId142" Type="http://schemas.openxmlformats.org/officeDocument/2006/relationships/hyperlink" Target="https://www.instagram.com/usconsuladoher/" TargetMode="External"/><Relationship Id="rId141" Type="http://schemas.openxmlformats.org/officeDocument/2006/relationships/hyperlink" Target="https://youtube.com/user/usconsulateher" TargetMode="External"/><Relationship Id="rId140" Type="http://schemas.openxmlformats.org/officeDocument/2006/relationships/hyperlink" Target="https://x.com/USConsuladoHer" TargetMode="External"/><Relationship Id="rId5" Type="http://schemas.openxmlformats.org/officeDocument/2006/relationships/hyperlink" Target="https://whatsapp.com/channel/0029VajpIXs84OmAZsk8oz2N" TargetMode="External"/><Relationship Id="rId147" Type="http://schemas.openxmlformats.org/officeDocument/2006/relationships/hyperlink" Target="https://www.facebook.com/USCGMatamoros/" TargetMode="External"/><Relationship Id="rId6" Type="http://schemas.openxmlformats.org/officeDocument/2006/relationships/hyperlink" Target="https://www.linkedin.com/showcase/u-s-embassy-buenos-aires-argentina/" TargetMode="External"/><Relationship Id="rId146" Type="http://schemas.openxmlformats.org/officeDocument/2006/relationships/hyperlink" Target="https://whatsapp.com/channel/0029Va7VTm42P59qkRYcyl3M" TargetMode="External"/><Relationship Id="rId7" Type="http://schemas.openxmlformats.org/officeDocument/2006/relationships/hyperlink" Target="https://www.flickr.com/photos/embajadaeeuubuenosaires/" TargetMode="External"/><Relationship Id="rId145" Type="http://schemas.openxmlformats.org/officeDocument/2006/relationships/hyperlink" Target="https://youtube.com/user/pasjuarez" TargetMode="External"/><Relationship Id="rId8" Type="http://schemas.openxmlformats.org/officeDocument/2006/relationships/hyperlink" Target="https://youtube.com/user/EmbajadaUSA" TargetMode="External"/><Relationship Id="rId144" Type="http://schemas.openxmlformats.org/officeDocument/2006/relationships/hyperlink" Target="https://x.com/USCGCdJuarez" TargetMode="External"/><Relationship Id="rId73" Type="http://schemas.openxmlformats.org/officeDocument/2006/relationships/hyperlink" Target="https://www.facebook.com/usdos.colombia/" TargetMode="External"/><Relationship Id="rId72" Type="http://schemas.openxmlformats.org/officeDocument/2006/relationships/hyperlink" Target="https://youtube.com/user/santiagopress" TargetMode="External"/><Relationship Id="rId75" Type="http://schemas.openxmlformats.org/officeDocument/2006/relationships/hyperlink" Target="https://www.linkedin.com/showcase/u-s-embassy-bogot%C3%A1-colombia/" TargetMode="External"/><Relationship Id="rId74" Type="http://schemas.openxmlformats.org/officeDocument/2006/relationships/hyperlink" Target="https://www.instagram.com/usembassybogota" TargetMode="External"/><Relationship Id="rId77" Type="http://schemas.openxmlformats.org/officeDocument/2006/relationships/hyperlink" Target="https://youtube.com/user/USEmbassyBogota" TargetMode="External"/><Relationship Id="rId76" Type="http://schemas.openxmlformats.org/officeDocument/2006/relationships/hyperlink" Target="https://x.com/USEmbassyBogota" TargetMode="External"/><Relationship Id="rId79" Type="http://schemas.openxmlformats.org/officeDocument/2006/relationships/hyperlink" Target="https://x.com/usambassadorcr" TargetMode="External"/><Relationship Id="rId78" Type="http://schemas.openxmlformats.org/officeDocument/2006/relationships/hyperlink" Target="https://whatsapp.com/channel/0029VajwMf2LNSa92CocDY2y" TargetMode="External"/><Relationship Id="rId71" Type="http://schemas.openxmlformats.org/officeDocument/2006/relationships/hyperlink" Target="https://x.com/EmbajadaEEUUcl" TargetMode="External"/><Relationship Id="rId70" Type="http://schemas.openxmlformats.org/officeDocument/2006/relationships/hyperlink" Target="https://www.linkedin.com/showcase/u-s-embassy-santiago-chile/" TargetMode="External"/><Relationship Id="rId139" Type="http://schemas.openxmlformats.org/officeDocument/2006/relationships/hyperlink" Target="https://www.facebook.com/USConsuladoHer/" TargetMode="External"/><Relationship Id="rId138" Type="http://schemas.openxmlformats.org/officeDocument/2006/relationships/hyperlink" Target="https://youtube.com/user/pdgdl" TargetMode="External"/><Relationship Id="rId137" Type="http://schemas.openxmlformats.org/officeDocument/2006/relationships/hyperlink" Target="https://x.com/USCGGuadalajara" TargetMode="External"/><Relationship Id="rId132" Type="http://schemas.openxmlformats.org/officeDocument/2006/relationships/hyperlink" Target="https://youtube.com/user/AmEmbassyKingston" TargetMode="External"/><Relationship Id="rId131" Type="http://schemas.openxmlformats.org/officeDocument/2006/relationships/hyperlink" Target="https://x.com/USEmbassyJA" TargetMode="External"/><Relationship Id="rId130" Type="http://schemas.openxmlformats.org/officeDocument/2006/relationships/hyperlink" Target="https://www.instagram.com/usembassyja" TargetMode="External"/><Relationship Id="rId136" Type="http://schemas.openxmlformats.org/officeDocument/2006/relationships/hyperlink" Target="https://www.facebook.com/USCGGuadalajara/" TargetMode="External"/><Relationship Id="rId135" Type="http://schemas.openxmlformats.org/officeDocument/2006/relationships/hyperlink" Target="https://whatsapp.com/channel/0029VaNr4kZ3wtbHFxm9Dh2D" TargetMode="External"/><Relationship Id="rId134" Type="http://schemas.openxmlformats.org/officeDocument/2006/relationships/hyperlink" Target="https://x.com/USAmbMex" TargetMode="External"/><Relationship Id="rId133" Type="http://schemas.openxmlformats.org/officeDocument/2006/relationships/hyperlink" Target="https://www.flickr.com/photos/kingstonja" TargetMode="External"/><Relationship Id="rId62" Type="http://schemas.openxmlformats.org/officeDocument/2006/relationships/hyperlink" Target="https://www.instagram.com/usembassyottawa" TargetMode="External"/><Relationship Id="rId61" Type="http://schemas.openxmlformats.org/officeDocument/2006/relationships/hyperlink" Target="https://www.flickr.com/photos/us_mission_canada/" TargetMode="External"/><Relationship Id="rId64" Type="http://schemas.openxmlformats.org/officeDocument/2006/relationships/hyperlink" Target="https://x.com/usembassyottawa" TargetMode="External"/><Relationship Id="rId63" Type="http://schemas.openxmlformats.org/officeDocument/2006/relationships/hyperlink" Target="https://www.linkedin.com/company/us-embassy-ottawa/" TargetMode="External"/><Relationship Id="rId66" Type="http://schemas.openxmlformats.org/officeDocument/2006/relationships/hyperlink" Target="https://x.com/USAmbCL" TargetMode="External"/><Relationship Id="rId172" Type="http://schemas.openxmlformats.org/officeDocument/2006/relationships/hyperlink" Target="https://x.com/USAmbNicaragua" TargetMode="External"/><Relationship Id="rId65" Type="http://schemas.openxmlformats.org/officeDocument/2006/relationships/hyperlink" Target="https://youtube.com/user/USEmbassyOttawa" TargetMode="External"/><Relationship Id="rId171" Type="http://schemas.openxmlformats.org/officeDocument/2006/relationships/hyperlink" Target="https://www.flickr.com/photos/61972246@N08/" TargetMode="External"/><Relationship Id="rId68" Type="http://schemas.openxmlformats.org/officeDocument/2006/relationships/hyperlink" Target="https://www.flickr.com/photos/embajadaeeuu-chile/" TargetMode="External"/><Relationship Id="rId170" Type="http://schemas.openxmlformats.org/officeDocument/2006/relationships/hyperlink" Target="https://www.whatsapp.com/channel/0029Va7VTm42P59qkRYcyl3M" TargetMode="External"/><Relationship Id="rId67" Type="http://schemas.openxmlformats.org/officeDocument/2006/relationships/hyperlink" Target="https://www.facebook.com/EmbajadaEEUUCl/" TargetMode="External"/><Relationship Id="rId60" Type="http://schemas.openxmlformats.org/officeDocument/2006/relationships/hyperlink" Target="https://www.facebook.com/canada.usembassy/" TargetMode="External"/><Relationship Id="rId165" Type="http://schemas.openxmlformats.org/officeDocument/2006/relationships/hyperlink" Target="https://www.linkedin.com/company/u.s.-embassy-in-mexico/" TargetMode="External"/><Relationship Id="rId69" Type="http://schemas.openxmlformats.org/officeDocument/2006/relationships/hyperlink" Target="https://www.instagram.com/embajadaeeuucl" TargetMode="External"/><Relationship Id="rId164" Type="http://schemas.openxmlformats.org/officeDocument/2006/relationships/hyperlink" Target="https://www.instagram.com/usembassymex" TargetMode="External"/><Relationship Id="rId163" Type="http://schemas.openxmlformats.org/officeDocument/2006/relationships/hyperlink" Target="https://www.facebook.com/mexico.usembassy/" TargetMode="External"/><Relationship Id="rId162" Type="http://schemas.openxmlformats.org/officeDocument/2006/relationships/hyperlink" Target="https://youtube.com/user/usconsulatetj" TargetMode="External"/><Relationship Id="rId169" Type="http://schemas.openxmlformats.org/officeDocument/2006/relationships/hyperlink" Target="https://www.whatsapp.com/channel/0029VaNr4kZ3wtbHFxm9Dh2D" TargetMode="External"/><Relationship Id="rId168" Type="http://schemas.openxmlformats.org/officeDocument/2006/relationships/hyperlink" Target="https://youtube.com/user/usembassymx" TargetMode="External"/><Relationship Id="rId167" Type="http://schemas.openxmlformats.org/officeDocument/2006/relationships/hyperlink" Target="https://x.com/USEmbassyMEX" TargetMode="External"/><Relationship Id="rId166" Type="http://schemas.openxmlformats.org/officeDocument/2006/relationships/hyperlink" Target="https://x.com/USConsularMex" TargetMode="External"/><Relationship Id="rId51" Type="http://schemas.openxmlformats.org/officeDocument/2006/relationships/hyperlink" Target="https://www.instagram.com/usconstoronto" TargetMode="External"/><Relationship Id="rId50" Type="http://schemas.openxmlformats.org/officeDocument/2006/relationships/hyperlink" Target="https://www.facebook.com/USConsulateToronto/" TargetMode="External"/><Relationship Id="rId53" Type="http://schemas.openxmlformats.org/officeDocument/2006/relationships/hyperlink" Target="https://www.facebook.com/USConsulateVancouver/" TargetMode="External"/><Relationship Id="rId52" Type="http://schemas.openxmlformats.org/officeDocument/2006/relationships/hyperlink" Target="https://x.com/usconstoronto" TargetMode="External"/><Relationship Id="rId55" Type="http://schemas.openxmlformats.org/officeDocument/2006/relationships/hyperlink" Target="https://www.instagram.com/usconsvancouver/" TargetMode="External"/><Relationship Id="rId161" Type="http://schemas.openxmlformats.org/officeDocument/2006/relationships/hyperlink" Target="https://x.com/ConsuladoUSATJ" TargetMode="External"/><Relationship Id="rId54" Type="http://schemas.openxmlformats.org/officeDocument/2006/relationships/hyperlink" Target="https://x.com/usconsvancouver" TargetMode="External"/><Relationship Id="rId160" Type="http://schemas.openxmlformats.org/officeDocument/2006/relationships/hyperlink" Target="https://www.facebook.com/ConsuladoEstadosUnidosTijuana/" TargetMode="External"/><Relationship Id="rId57" Type="http://schemas.openxmlformats.org/officeDocument/2006/relationships/hyperlink" Target="https://x.com/USConsWinnipeg" TargetMode="External"/><Relationship Id="rId56" Type="http://schemas.openxmlformats.org/officeDocument/2006/relationships/hyperlink" Target="https://www.facebook.com/USConsulateWinnipeg/" TargetMode="External"/><Relationship Id="rId159" Type="http://schemas.openxmlformats.org/officeDocument/2006/relationships/hyperlink" Target="https://x.com/USAConNVL" TargetMode="External"/><Relationship Id="rId59" Type="http://schemas.openxmlformats.org/officeDocument/2006/relationships/hyperlink" Target="https://x.com/usconsquebec" TargetMode="External"/><Relationship Id="rId154" Type="http://schemas.openxmlformats.org/officeDocument/2006/relationships/hyperlink" Target="https://x.com/USConsulateMTY" TargetMode="External"/><Relationship Id="rId58" Type="http://schemas.openxmlformats.org/officeDocument/2006/relationships/hyperlink" Target="https://www.facebook.com/USConsulateQuebec/" TargetMode="External"/><Relationship Id="rId153" Type="http://schemas.openxmlformats.org/officeDocument/2006/relationships/hyperlink" Target="https://www.flickr.com/photos/uscgmonterrey/sets/" TargetMode="External"/><Relationship Id="rId152" Type="http://schemas.openxmlformats.org/officeDocument/2006/relationships/hyperlink" Target="https://www.facebook.com/usconsulatemonterrey" TargetMode="External"/><Relationship Id="rId151" Type="http://schemas.openxmlformats.org/officeDocument/2006/relationships/hyperlink" Target="https://x.com/ConsuladoUSAMer" TargetMode="External"/><Relationship Id="rId158" Type="http://schemas.openxmlformats.org/officeDocument/2006/relationships/hyperlink" Target="https://www.facebook.com/consuladonuevolaredo/" TargetMode="External"/><Relationship Id="rId157" Type="http://schemas.openxmlformats.org/officeDocument/2006/relationships/hyperlink" Target="https://x.com/USCGNogales" TargetMode="External"/><Relationship Id="rId156" Type="http://schemas.openxmlformats.org/officeDocument/2006/relationships/hyperlink" Target="https://www.facebook.com/ConsuladoNogales/" TargetMode="External"/><Relationship Id="rId155" Type="http://schemas.openxmlformats.org/officeDocument/2006/relationships/hyperlink" Target="https://youtube.com/user/AmericanConsulateMTY" TargetMode="External"/><Relationship Id="rId107" Type="http://schemas.openxmlformats.org/officeDocument/2006/relationships/hyperlink" Target="https://www.instagram.com/usembassyguatemala" TargetMode="External"/><Relationship Id="rId228" Type="http://schemas.openxmlformats.org/officeDocument/2006/relationships/hyperlink" Target="https://whatsapp.com/channel/0029VaGlNLfBPzjRBkfqtA1V" TargetMode="External"/><Relationship Id="rId106" Type="http://schemas.openxmlformats.org/officeDocument/2006/relationships/hyperlink" Target="https://www.facebook.com/Embajada.EEUU.Guatemala/" TargetMode="External"/><Relationship Id="rId227" Type="http://schemas.openxmlformats.org/officeDocument/2006/relationships/hyperlink" Target="https://www.youtube.com/@USEMBCRS" TargetMode="External"/><Relationship Id="rId105" Type="http://schemas.openxmlformats.org/officeDocument/2006/relationships/hyperlink" Target="https://www.flickr.com/photos/40236643@N04" TargetMode="External"/><Relationship Id="rId226" Type="http://schemas.openxmlformats.org/officeDocument/2006/relationships/hyperlink" Target="https://x.com/usembassyve" TargetMode="External"/><Relationship Id="rId104" Type="http://schemas.openxmlformats.org/officeDocument/2006/relationships/hyperlink" Target="https://www.linkedin.com/company/u-s-embassy-in-san-salvador/" TargetMode="External"/><Relationship Id="rId225" Type="http://schemas.openxmlformats.org/officeDocument/2006/relationships/hyperlink" Target="https://www.instagram.com/usembassyve/" TargetMode="External"/><Relationship Id="rId109" Type="http://schemas.openxmlformats.org/officeDocument/2006/relationships/hyperlink" Target="https://www.youtube.com/@USEmbassyGUATE" TargetMode="External"/><Relationship Id="rId108" Type="http://schemas.openxmlformats.org/officeDocument/2006/relationships/hyperlink" Target="https://x.com/usembassyguate" TargetMode="External"/><Relationship Id="rId229" Type="http://schemas.openxmlformats.org/officeDocument/2006/relationships/drawing" Target="../drawings/drawing8.xml"/><Relationship Id="rId220" Type="http://schemas.openxmlformats.org/officeDocument/2006/relationships/hyperlink" Target="https://x.com/usembassyMVD" TargetMode="External"/><Relationship Id="rId103" Type="http://schemas.openxmlformats.org/officeDocument/2006/relationships/hyperlink" Target="https://youtube.com/user/usembassyelsalvador" TargetMode="External"/><Relationship Id="rId224" Type="http://schemas.openxmlformats.org/officeDocument/2006/relationships/hyperlink" Target="https://www.flickr.com/photos/usembassyve" TargetMode="External"/><Relationship Id="rId102" Type="http://schemas.openxmlformats.org/officeDocument/2006/relationships/hyperlink" Target="https://x.com/USEmbassySV" TargetMode="External"/><Relationship Id="rId223" Type="http://schemas.openxmlformats.org/officeDocument/2006/relationships/hyperlink" Target="https://www.facebook.com/usembassyve" TargetMode="External"/><Relationship Id="rId101" Type="http://schemas.openxmlformats.org/officeDocument/2006/relationships/hyperlink" Target="https://www.instagram.com/usembassysv" TargetMode="External"/><Relationship Id="rId222" Type="http://schemas.openxmlformats.org/officeDocument/2006/relationships/hyperlink" Target="https://www.flickr.com/photos/usembassy_montevideo" TargetMode="External"/><Relationship Id="rId100" Type="http://schemas.openxmlformats.org/officeDocument/2006/relationships/hyperlink" Target="https://www.facebook.com/embajadaamericanaelsalvador/" TargetMode="External"/><Relationship Id="rId221" Type="http://schemas.openxmlformats.org/officeDocument/2006/relationships/hyperlink" Target="https://youtube.com/user/usembmvd" TargetMode="External"/><Relationship Id="rId217" Type="http://schemas.openxmlformats.org/officeDocument/2006/relationships/hyperlink" Target="https://www.instagram.com/usamburuguay" TargetMode="External"/><Relationship Id="rId216" Type="http://schemas.openxmlformats.org/officeDocument/2006/relationships/hyperlink" Target="https://x.com/usamburuguay" TargetMode="External"/><Relationship Id="rId215" Type="http://schemas.openxmlformats.org/officeDocument/2006/relationships/hyperlink" Target="https://www.instagram.com/ylainetwork/?hl=en" TargetMode="External"/><Relationship Id="rId214" Type="http://schemas.openxmlformats.org/officeDocument/2006/relationships/hyperlink" Target="https://x.com/YLAINetwork" TargetMode="External"/><Relationship Id="rId219" Type="http://schemas.openxmlformats.org/officeDocument/2006/relationships/hyperlink" Target="https://www.instagram.com/usembassymvd" TargetMode="External"/><Relationship Id="rId218" Type="http://schemas.openxmlformats.org/officeDocument/2006/relationships/hyperlink" Target="https://www.facebook.com/US.Embassy.Montevideo/" TargetMode="External"/><Relationship Id="rId213" Type="http://schemas.openxmlformats.org/officeDocument/2006/relationships/hyperlink" Target="https://www.linkedin.com/company/young-leaders-of-the-americas-initiative/" TargetMode="External"/><Relationship Id="rId212" Type="http://schemas.openxmlformats.org/officeDocument/2006/relationships/hyperlink" Target="https://www.facebook.com/ylainetwork/" TargetMode="External"/><Relationship Id="rId211" Type="http://schemas.openxmlformats.org/officeDocument/2006/relationships/hyperlink" Target="https://x.com/USAmbOAS" TargetMode="External"/><Relationship Id="rId210" Type="http://schemas.openxmlformats.org/officeDocument/2006/relationships/hyperlink" Target="https://youtube.com/user/whabureau" TargetMode="External"/><Relationship Id="rId129" Type="http://schemas.openxmlformats.org/officeDocument/2006/relationships/hyperlink" Target="https://www.facebook.com/USEmbassyJamaica/" TargetMode="External"/><Relationship Id="rId128" Type="http://schemas.openxmlformats.org/officeDocument/2006/relationships/hyperlink" Target="https://x.com/AmbassadorUS_JA" TargetMode="External"/><Relationship Id="rId127" Type="http://schemas.openxmlformats.org/officeDocument/2006/relationships/hyperlink" Target="https://www.flickr.com/photos/usembassyteg" TargetMode="External"/><Relationship Id="rId126" Type="http://schemas.openxmlformats.org/officeDocument/2006/relationships/hyperlink" Target="https://www.linkedin.com/company/us-embassy-tegucigalpa/" TargetMode="External"/><Relationship Id="rId121" Type="http://schemas.openxmlformats.org/officeDocument/2006/relationships/hyperlink" Target="https://x.com/USAmbHonduras" TargetMode="External"/><Relationship Id="rId120" Type="http://schemas.openxmlformats.org/officeDocument/2006/relationships/hyperlink" Target="https://www.flickr.com/photos/139942824@N06/albums" TargetMode="External"/><Relationship Id="rId125" Type="http://schemas.openxmlformats.org/officeDocument/2006/relationships/hyperlink" Target="https://www.youtube.com/@USEmbassyHN" TargetMode="External"/><Relationship Id="rId124" Type="http://schemas.openxmlformats.org/officeDocument/2006/relationships/hyperlink" Target="https://x.com/usembassyhn" TargetMode="External"/><Relationship Id="rId123" Type="http://schemas.openxmlformats.org/officeDocument/2006/relationships/hyperlink" Target="https://www.instagram.com/usembassyhn" TargetMode="External"/><Relationship Id="rId122" Type="http://schemas.openxmlformats.org/officeDocument/2006/relationships/hyperlink" Target="https://www.facebook.com/usembassyhn/" TargetMode="External"/><Relationship Id="rId95" Type="http://schemas.openxmlformats.org/officeDocument/2006/relationships/hyperlink" Target="https://www.facebook.com/USEmbassyEC/" TargetMode="External"/><Relationship Id="rId94" Type="http://schemas.openxmlformats.org/officeDocument/2006/relationships/hyperlink" Target="https://youtube.com/user/embajadausaenrd" TargetMode="External"/><Relationship Id="rId97" Type="http://schemas.openxmlformats.org/officeDocument/2006/relationships/hyperlink" Target="https://x.com/usembassyec" TargetMode="External"/><Relationship Id="rId96" Type="http://schemas.openxmlformats.org/officeDocument/2006/relationships/hyperlink" Target="https://www.instagram.com/usembassyec/" TargetMode="External"/><Relationship Id="rId99" Type="http://schemas.openxmlformats.org/officeDocument/2006/relationships/hyperlink" Target="https://x.com/usambsv" TargetMode="External"/><Relationship Id="rId98" Type="http://schemas.openxmlformats.org/officeDocument/2006/relationships/hyperlink" Target="https://youtube.com/user/USEmbassyQuito" TargetMode="External"/><Relationship Id="rId91" Type="http://schemas.openxmlformats.org/officeDocument/2006/relationships/hyperlink" Target="https://www.facebook.com/EmbajadaUSAenRD/" TargetMode="External"/><Relationship Id="rId90" Type="http://schemas.openxmlformats.org/officeDocument/2006/relationships/hyperlink" Target="https://www.instagram.com/usaindutchcaribbean/" TargetMode="External"/><Relationship Id="rId93" Type="http://schemas.openxmlformats.org/officeDocument/2006/relationships/hyperlink" Target="https://x.com/EmbajadaUSAenRD" TargetMode="External"/><Relationship Id="rId92" Type="http://schemas.openxmlformats.org/officeDocument/2006/relationships/hyperlink" Target="https://www.instagram.com/embajadausaenrd" TargetMode="External"/><Relationship Id="rId118" Type="http://schemas.openxmlformats.org/officeDocument/2006/relationships/hyperlink" Target="https://www.facebook.com/USEmbassyHaiti/" TargetMode="External"/><Relationship Id="rId117" Type="http://schemas.openxmlformats.org/officeDocument/2006/relationships/hyperlink" Target="https://www.facebook.com/ACSPortauPrince" TargetMode="External"/><Relationship Id="rId116" Type="http://schemas.openxmlformats.org/officeDocument/2006/relationships/hyperlink" Target="https://www.flickr.com/photos/usembassyguyana/" TargetMode="External"/><Relationship Id="rId115" Type="http://schemas.openxmlformats.org/officeDocument/2006/relationships/hyperlink" Target="https://youtube.com/user/USEmbassyGuyana" TargetMode="External"/><Relationship Id="rId119" Type="http://schemas.openxmlformats.org/officeDocument/2006/relationships/hyperlink" Target="https://x.com/USEmbassyHaiti" TargetMode="External"/><Relationship Id="rId110" Type="http://schemas.openxmlformats.org/officeDocument/2006/relationships/hyperlink" Target="https://www.flickr.com/photos/usembassyguatemala/" TargetMode="External"/><Relationship Id="rId114" Type="http://schemas.openxmlformats.org/officeDocument/2006/relationships/hyperlink" Target="https://x.com/EmbassyGuyana" TargetMode="External"/><Relationship Id="rId113" Type="http://schemas.openxmlformats.org/officeDocument/2006/relationships/hyperlink" Target="https://www.instagram.com/usembassygeorgetown" TargetMode="External"/><Relationship Id="rId112" Type="http://schemas.openxmlformats.org/officeDocument/2006/relationships/hyperlink" Target="https://www.facebook.com/USEmbassyGeorgetown/" TargetMode="External"/><Relationship Id="rId111" Type="http://schemas.openxmlformats.org/officeDocument/2006/relationships/hyperlink" Target="https://x.com/USAmbGuyana" TargetMode="External"/><Relationship Id="rId206" Type="http://schemas.openxmlformats.org/officeDocument/2006/relationships/hyperlink" Target="https://www.instagram.com/usintt" TargetMode="External"/><Relationship Id="rId205" Type="http://schemas.openxmlformats.org/officeDocument/2006/relationships/hyperlink" Target="https://www.facebook.com/ttusa/" TargetMode="External"/><Relationship Id="rId204" Type="http://schemas.openxmlformats.org/officeDocument/2006/relationships/hyperlink" Target="https://youtube.com/user/USEmbassyBahamas" TargetMode="External"/><Relationship Id="rId203" Type="http://schemas.openxmlformats.org/officeDocument/2006/relationships/hyperlink" Target="https://x.com/USEmbassyNassau" TargetMode="External"/><Relationship Id="rId209" Type="http://schemas.openxmlformats.org/officeDocument/2006/relationships/hyperlink" Target="https://x.com/WHAAsstSecty" TargetMode="External"/><Relationship Id="rId208" Type="http://schemas.openxmlformats.org/officeDocument/2006/relationships/hyperlink" Target="https://youtube.com/user/USEmbassyPOS" TargetMode="External"/><Relationship Id="rId207" Type="http://schemas.openxmlformats.org/officeDocument/2006/relationships/hyperlink" Target="https://x.com/USinTT" TargetMode="External"/><Relationship Id="rId202" Type="http://schemas.openxmlformats.org/officeDocument/2006/relationships/hyperlink" Target="https://www.instagram.com/usembassynassau" TargetMode="External"/><Relationship Id="rId201" Type="http://schemas.openxmlformats.org/officeDocument/2006/relationships/hyperlink" Target="https://www.facebook.com/USEmbassyNassau" TargetMode="External"/><Relationship Id="rId200" Type="http://schemas.openxmlformats.org/officeDocument/2006/relationships/hyperlink" Target="https://flickr.com/photos/usembassyparamaribo/" TargetMode="External"/></Relationships>
</file>

<file path=xl/worksheets/_rels/sheet9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threads.net/@nmadmuseum" TargetMode="External"/><Relationship Id="rId194" Type="http://schemas.openxmlformats.org/officeDocument/2006/relationships/hyperlink" Target="https://www.linkedin.com/company/state-global-health-security-and-diplomacy/" TargetMode="External"/><Relationship Id="rId193" Type="http://schemas.openxmlformats.org/officeDocument/2006/relationships/hyperlink" Target="https://x.com/UndersecPD" TargetMode="External"/><Relationship Id="rId192" Type="http://schemas.openxmlformats.org/officeDocument/2006/relationships/hyperlink" Target="https://www.linkedin.com/company/nmadmuseum/" TargetMode="External"/><Relationship Id="rId191" Type="http://schemas.openxmlformats.org/officeDocument/2006/relationships/hyperlink" Target="https://x.com/NMADmuseum" TargetMode="External"/><Relationship Id="rId187" Type="http://schemas.openxmlformats.org/officeDocument/2006/relationships/hyperlink" Target="https://www.facebook.com/NMADmuseum/" TargetMode="External"/><Relationship Id="rId186" Type="http://schemas.openxmlformats.org/officeDocument/2006/relationships/hyperlink" Target="https://x.com/StatePRM" TargetMode="External"/><Relationship Id="rId185" Type="http://schemas.openxmlformats.org/officeDocument/2006/relationships/hyperlink" Target="https://www.instagram.com/stateprm/" TargetMode="External"/><Relationship Id="rId184" Type="http://schemas.openxmlformats.org/officeDocument/2006/relationships/hyperlink" Target="https://www.flickr.com/photos/stateprm/" TargetMode="External"/><Relationship Id="rId189" Type="http://schemas.openxmlformats.org/officeDocument/2006/relationships/hyperlink" Target="https://www.flickr.com/photos/nmadmuseum/" TargetMode="External"/><Relationship Id="rId188" Type="http://schemas.openxmlformats.org/officeDocument/2006/relationships/hyperlink" Target="https://www.instagram.com/NMADmuseum" TargetMode="External"/><Relationship Id="rId183" Type="http://schemas.openxmlformats.org/officeDocument/2006/relationships/hyperlink" Target="https://www.facebook.com/State.PRM" TargetMode="External"/><Relationship Id="rId182" Type="http://schemas.openxmlformats.org/officeDocument/2006/relationships/hyperlink" Target="https://x.com/PRMAsstSec" TargetMode="External"/><Relationship Id="rId181" Type="http://schemas.openxmlformats.org/officeDocument/2006/relationships/hyperlink" Target="https://x.com/StateDeptPM" TargetMode="External"/><Relationship Id="rId180" Type="http://schemas.openxmlformats.org/officeDocument/2006/relationships/hyperlink" Target="https://x.com/AsstSecPM" TargetMode="External"/><Relationship Id="rId176" Type="http://schemas.openxmlformats.org/officeDocument/2006/relationships/hyperlink" Target="https://www.linkedin.com/company/stateoes/" TargetMode="External"/><Relationship Id="rId175" Type="http://schemas.openxmlformats.org/officeDocument/2006/relationships/hyperlink" Target="https://www.instagram.com/sciencediplomacy_usa/" TargetMode="External"/><Relationship Id="rId174" Type="http://schemas.openxmlformats.org/officeDocument/2006/relationships/hyperlink" Target="https://x.com/SciDiplomacyUSA" TargetMode="External"/><Relationship Id="rId173" Type="http://schemas.openxmlformats.org/officeDocument/2006/relationships/hyperlink" Target="https://youtube.com/@sciencediplomacyusa429" TargetMode="External"/><Relationship Id="rId179" Type="http://schemas.openxmlformats.org/officeDocument/2006/relationships/hyperlink" Target="https://x.com/UnderSecStateP" TargetMode="External"/><Relationship Id="rId178" Type="http://schemas.openxmlformats.org/officeDocument/2006/relationships/hyperlink" Target="https://x.com/GISTNetwork" TargetMode="External"/><Relationship Id="rId177" Type="http://schemas.openxmlformats.org/officeDocument/2006/relationships/hyperlink" Target="https://www.facebook.com/GISTnet" TargetMode="External"/><Relationship Id="rId198" Type="http://schemas.openxmlformats.org/officeDocument/2006/relationships/hyperlink" Target="https://www.linkedin.com/company/stategwi/" TargetMode="External"/><Relationship Id="rId197" Type="http://schemas.openxmlformats.org/officeDocument/2006/relationships/hyperlink" Target="https://www.facebook.com/StateGWI/" TargetMode="External"/><Relationship Id="rId196" Type="http://schemas.openxmlformats.org/officeDocument/2006/relationships/hyperlink" Target="https://x.com/stategwi" TargetMode="External"/><Relationship Id="rId195" Type="http://schemas.openxmlformats.org/officeDocument/2006/relationships/hyperlink" Target="https://x.com/CounselorDOS" TargetMode="External"/><Relationship Id="rId199" Type="http://schemas.openxmlformats.org/officeDocument/2006/relationships/hyperlink" Target="https://x.com/US_Protocol" TargetMode="External"/><Relationship Id="rId150" Type="http://schemas.openxmlformats.org/officeDocument/2006/relationships/hyperlink" Target="https://www.flickr.com/photos/isnbureau/" TargetMode="External"/><Relationship Id="rId392" Type="http://schemas.openxmlformats.org/officeDocument/2006/relationships/hyperlink" Target="https://www.youtube.com/@usembassyzimbabwe" TargetMode="External"/><Relationship Id="rId391" Type="http://schemas.openxmlformats.org/officeDocument/2006/relationships/hyperlink" Target="https://x.com/USEmbZim" TargetMode="External"/><Relationship Id="rId390" Type="http://schemas.openxmlformats.org/officeDocument/2006/relationships/hyperlink" Target="https://www.facebook.com/usembassyzimbabwe/" TargetMode="External"/><Relationship Id="rId1" Type="http://schemas.openxmlformats.org/officeDocument/2006/relationships/hyperlink" Target="https://www.linkedin.com/company/department-of-state-industry-liaison/" TargetMode="External"/><Relationship Id="rId2" Type="http://schemas.openxmlformats.org/officeDocument/2006/relationships/hyperlink" Target="https://x.com/StateADS" TargetMode="External"/><Relationship Id="rId3" Type="http://schemas.openxmlformats.org/officeDocument/2006/relationships/hyperlink" Target="https://www.facebook.com/StateADS" TargetMode="External"/><Relationship Id="rId149" Type="http://schemas.openxmlformats.org/officeDocument/2006/relationships/hyperlink" Target="https://x.com/StateISN" TargetMode="External"/><Relationship Id="rId4" Type="http://schemas.openxmlformats.org/officeDocument/2006/relationships/hyperlink" Target="https://www.facebook.com/travelgov/" TargetMode="External"/><Relationship Id="rId148" Type="http://schemas.openxmlformats.org/officeDocument/2006/relationships/hyperlink" Target="https://www.linkedin.com/company/state-isn/" TargetMode="External"/><Relationship Id="rId1090" Type="http://schemas.openxmlformats.org/officeDocument/2006/relationships/hyperlink" Target="https://www.facebook.com/usconsulategeneralhyderabad/" TargetMode="External"/><Relationship Id="rId1091" Type="http://schemas.openxmlformats.org/officeDocument/2006/relationships/hyperlink" Target="https://www.instagram.com/uscghyderabad" TargetMode="External"/><Relationship Id="rId1092" Type="http://schemas.openxmlformats.org/officeDocument/2006/relationships/hyperlink" Target="https://x.com/USAndHyderabad" TargetMode="External"/><Relationship Id="rId1093" Type="http://schemas.openxmlformats.org/officeDocument/2006/relationships/hyperlink" Target="https://x.com/USCGHyderabad" TargetMode="External"/><Relationship Id="rId1094" Type="http://schemas.openxmlformats.org/officeDocument/2006/relationships/hyperlink" Target="https://youtube.com/user/USConsulateHyderabad" TargetMode="External"/><Relationship Id="rId9" Type="http://schemas.openxmlformats.org/officeDocument/2006/relationships/hyperlink" Target="https://x.com/StateCDP" TargetMode="External"/><Relationship Id="rId143" Type="http://schemas.openxmlformats.org/officeDocument/2006/relationships/hyperlink" Target="https://www.linkedin.com/showcase/usdos-irm/" TargetMode="External"/><Relationship Id="rId385" Type="http://schemas.openxmlformats.org/officeDocument/2006/relationships/hyperlink" Target="https://www.youtube.com/@YALINetwork" TargetMode="External"/><Relationship Id="rId1095" Type="http://schemas.openxmlformats.org/officeDocument/2006/relationships/hyperlink" Target="https://www.facebook.com/Kolkata.usconsulate/" TargetMode="External"/><Relationship Id="rId142" Type="http://schemas.openxmlformats.org/officeDocument/2006/relationships/hyperlink" Target="https://www.facebook.com/DOSIRF" TargetMode="External"/><Relationship Id="rId384" Type="http://schemas.openxmlformats.org/officeDocument/2006/relationships/hyperlink" Target="https://x.com/YALINetwork" TargetMode="External"/><Relationship Id="rId1096" Type="http://schemas.openxmlformats.org/officeDocument/2006/relationships/hyperlink" Target="https://www.instagram.com/usandkolkata" TargetMode="External"/><Relationship Id="rId141" Type="http://schemas.openxmlformats.org/officeDocument/2006/relationships/hyperlink" Target="https://x.com/StateIRF" TargetMode="External"/><Relationship Id="rId383" Type="http://schemas.openxmlformats.org/officeDocument/2006/relationships/hyperlink" Target="https://www.facebook.com/YALINetwork/" TargetMode="External"/><Relationship Id="rId1097" Type="http://schemas.openxmlformats.org/officeDocument/2006/relationships/hyperlink" Target="https://www.youtube.com/user/AmCenterKolkata" TargetMode="External"/><Relationship Id="rId140" Type="http://schemas.openxmlformats.org/officeDocument/2006/relationships/hyperlink" Target="https://x.com/IRF_Ambassador" TargetMode="External"/><Relationship Id="rId382" Type="http://schemas.openxmlformats.org/officeDocument/2006/relationships/hyperlink" Target="https://x.com/US_SrAdvisorAF" TargetMode="External"/><Relationship Id="rId1098" Type="http://schemas.openxmlformats.org/officeDocument/2006/relationships/hyperlink" Target="https://x.com/USAndKolkata" TargetMode="External"/><Relationship Id="rId5" Type="http://schemas.openxmlformats.org/officeDocument/2006/relationships/hyperlink" Target="https://www.instagram.com/travelgov/" TargetMode="External"/><Relationship Id="rId147" Type="http://schemas.openxmlformats.org/officeDocument/2006/relationships/hyperlink" Target="https://www.facebook.com/StateDepartment.ISNBureau" TargetMode="External"/><Relationship Id="rId389" Type="http://schemas.openxmlformats.org/officeDocument/2006/relationships/hyperlink" Target="https://www.youtube.com/@usembassyzambia" TargetMode="External"/><Relationship Id="rId1099" Type="http://schemas.openxmlformats.org/officeDocument/2006/relationships/hyperlink" Target="https://www.facebook.com/Mumbai.usconsulate/" TargetMode="External"/><Relationship Id="rId6" Type="http://schemas.openxmlformats.org/officeDocument/2006/relationships/hyperlink" Target="https://x.com/TravelGov" TargetMode="External"/><Relationship Id="rId146" Type="http://schemas.openxmlformats.org/officeDocument/2006/relationships/hyperlink" Target="https://www.linkedin.com/showcase/usdos-vsfs/" TargetMode="External"/><Relationship Id="rId388" Type="http://schemas.openxmlformats.org/officeDocument/2006/relationships/hyperlink" Target="https://x.com/usembassyzambia" TargetMode="External"/><Relationship Id="rId7" Type="http://schemas.openxmlformats.org/officeDocument/2006/relationships/hyperlink" Target="https://www.youtube.com/user/TravelGov" TargetMode="External"/><Relationship Id="rId145" Type="http://schemas.openxmlformats.org/officeDocument/2006/relationships/hyperlink" Target="https://www.facebook.com/VSFSatState" TargetMode="External"/><Relationship Id="rId387" Type="http://schemas.openxmlformats.org/officeDocument/2006/relationships/hyperlink" Target="https://www.facebook.com/usembassyzambia/" TargetMode="External"/><Relationship Id="rId8" Type="http://schemas.openxmlformats.org/officeDocument/2006/relationships/hyperlink" Target="https://whatsapp.com/channel/0029Var8szHInlqREVL5jC0g" TargetMode="External"/><Relationship Id="rId144" Type="http://schemas.openxmlformats.org/officeDocument/2006/relationships/hyperlink" Target="https://x.com/StateDept_CIO" TargetMode="External"/><Relationship Id="rId386" Type="http://schemas.openxmlformats.org/officeDocument/2006/relationships/hyperlink" Target="https://www.linkedin.com/groups/7425359/" TargetMode="External"/><Relationship Id="rId381" Type="http://schemas.openxmlformats.org/officeDocument/2006/relationships/hyperlink" Target="https://www.facebook.com/DOSAfricanAffairs/" TargetMode="External"/><Relationship Id="rId380" Type="http://schemas.openxmlformats.org/officeDocument/2006/relationships/hyperlink" Target="https://x.com/AsstSecStateAF" TargetMode="External"/><Relationship Id="rId139" Type="http://schemas.openxmlformats.org/officeDocument/2006/relationships/hyperlink" Target="https://x.com/StateINL" TargetMode="External"/><Relationship Id="rId138" Type="http://schemas.openxmlformats.org/officeDocument/2006/relationships/hyperlink" Target="https://www.instagram.com/stateinl/" TargetMode="External"/><Relationship Id="rId137" Type="http://schemas.openxmlformats.org/officeDocument/2006/relationships/hyperlink" Target="https://www.facebook.com/StateINL/" TargetMode="External"/><Relationship Id="rId379" Type="http://schemas.openxmlformats.org/officeDocument/2006/relationships/hyperlink" Target="https://www.flickr.com/photos/us_mission_uganda" TargetMode="External"/><Relationship Id="rId1080" Type="http://schemas.openxmlformats.org/officeDocument/2006/relationships/hyperlink" Target="https://www.facebook.com/bangladesh.usembassy/" TargetMode="External"/><Relationship Id="rId1081" Type="http://schemas.openxmlformats.org/officeDocument/2006/relationships/hyperlink" Target="https://www.flickr.com/photos/usembassydhaka" TargetMode="External"/><Relationship Id="rId1082" Type="http://schemas.openxmlformats.org/officeDocument/2006/relationships/hyperlink" Target="https://x.com/usembassydhaka" TargetMode="External"/><Relationship Id="rId1083" Type="http://schemas.openxmlformats.org/officeDocument/2006/relationships/hyperlink" Target="https://www.youtube.com/user/TheUSEmbassyDhaka" TargetMode="External"/><Relationship Id="rId132" Type="http://schemas.openxmlformats.org/officeDocument/2006/relationships/hyperlink" Target="https://www.instagram.com/instatemag/" TargetMode="External"/><Relationship Id="rId374" Type="http://schemas.openxmlformats.org/officeDocument/2006/relationships/hyperlink" Target="https://www.facebook.com/USEmbassyLome/" TargetMode="External"/><Relationship Id="rId1084" Type="http://schemas.openxmlformats.org/officeDocument/2006/relationships/hyperlink" Target="https://www.facebook.com/USandBhutan" TargetMode="External"/><Relationship Id="rId131" Type="http://schemas.openxmlformats.org/officeDocument/2006/relationships/hyperlink" Target="https://x.com/StateMag" TargetMode="External"/><Relationship Id="rId373" Type="http://schemas.openxmlformats.org/officeDocument/2006/relationships/hyperlink" Target="https://www.youtube.com/@USEmbassyTZA" TargetMode="External"/><Relationship Id="rId1085" Type="http://schemas.openxmlformats.org/officeDocument/2006/relationships/hyperlink" Target="https://x.com/USAmbIndia" TargetMode="External"/><Relationship Id="rId130" Type="http://schemas.openxmlformats.org/officeDocument/2006/relationships/hyperlink" Target="https://www.facebook.com/statemagazine" TargetMode="External"/><Relationship Id="rId372" Type="http://schemas.openxmlformats.org/officeDocument/2006/relationships/hyperlink" Target="https://www.linkedin.com/showcase/usambtanzania/" TargetMode="External"/><Relationship Id="rId1086" Type="http://schemas.openxmlformats.org/officeDocument/2006/relationships/hyperlink" Target="https://www.facebook.com/chennai.usconsulate" TargetMode="External"/><Relationship Id="rId371" Type="http://schemas.openxmlformats.org/officeDocument/2006/relationships/hyperlink" Target="https://x.com/usembassytz" TargetMode="External"/><Relationship Id="rId1087" Type="http://schemas.openxmlformats.org/officeDocument/2006/relationships/hyperlink" Target="https://www.instagram.com/usconsulatechennai" TargetMode="External"/><Relationship Id="rId136" Type="http://schemas.openxmlformats.org/officeDocument/2006/relationships/hyperlink" Target="https://www.linkedin.com/showcase/u-s-department-of-state---careers-for-persons-with-disabilities" TargetMode="External"/><Relationship Id="rId378" Type="http://schemas.openxmlformats.org/officeDocument/2006/relationships/hyperlink" Target="https://x.com/usmissionuganda" TargetMode="External"/><Relationship Id="rId1088" Type="http://schemas.openxmlformats.org/officeDocument/2006/relationships/hyperlink" Target="https://x.com/USAndChennai" TargetMode="External"/><Relationship Id="rId135" Type="http://schemas.openxmlformats.org/officeDocument/2006/relationships/hyperlink" Target="https://www.instagram.com/doscareers" TargetMode="External"/><Relationship Id="rId377" Type="http://schemas.openxmlformats.org/officeDocument/2006/relationships/hyperlink" Target="https://www.instagram.com/usmissionuganda/" TargetMode="External"/><Relationship Id="rId1089" Type="http://schemas.openxmlformats.org/officeDocument/2006/relationships/hyperlink" Target="https://www.youtube.com/user/AmConGenChennai" TargetMode="External"/><Relationship Id="rId134" Type="http://schemas.openxmlformats.org/officeDocument/2006/relationships/hyperlink" Target="https://x.com/doscareers" TargetMode="External"/><Relationship Id="rId376" Type="http://schemas.openxmlformats.org/officeDocument/2006/relationships/hyperlink" Target="https://www.facebook.com/U.S.EmbassyKampala/" TargetMode="External"/><Relationship Id="rId133" Type="http://schemas.openxmlformats.org/officeDocument/2006/relationships/hyperlink" Target="https://www.facebook.com/doscareers" TargetMode="External"/><Relationship Id="rId375" Type="http://schemas.openxmlformats.org/officeDocument/2006/relationships/hyperlink" Target="https://x.com/USEmbassyLome" TargetMode="External"/><Relationship Id="rId172" Type="http://schemas.openxmlformats.org/officeDocument/2006/relationships/hyperlink" Target="https://www.flickr.com/photos/stateoesphotos/" TargetMode="External"/><Relationship Id="rId171" Type="http://schemas.openxmlformats.org/officeDocument/2006/relationships/hyperlink" Target="https://www.facebook.com/ScienceDiplomacyUSA/" TargetMode="External"/><Relationship Id="rId170" Type="http://schemas.openxmlformats.org/officeDocument/2006/relationships/hyperlink" Target="https://www.youtube.com/@State_OBO" TargetMode="External"/><Relationship Id="rId165" Type="http://schemas.openxmlformats.org/officeDocument/2006/relationships/hyperlink" Target="https://www.linkedin.com/showcase/usdos-med/" TargetMode="External"/><Relationship Id="rId164" Type="http://schemas.openxmlformats.org/officeDocument/2006/relationships/hyperlink" Target="https://www.linkedin.com/company/doscfa/" TargetMode="External"/><Relationship Id="rId163" Type="http://schemas.openxmlformats.org/officeDocument/2006/relationships/hyperlink" Target="https://www.facebook.com/ofmdc" TargetMode="External"/><Relationship Id="rId162" Type="http://schemas.openxmlformats.org/officeDocument/2006/relationships/hyperlink" Target="https://www.instagram.com/DirARTState/" TargetMode="External"/><Relationship Id="rId169" Type="http://schemas.openxmlformats.org/officeDocument/2006/relationships/hyperlink" Target="https://www.instagram.com/state_obo/" TargetMode="External"/><Relationship Id="rId168" Type="http://schemas.openxmlformats.org/officeDocument/2006/relationships/hyperlink" Target="https://www.threads.net/@state_obo" TargetMode="External"/><Relationship Id="rId167" Type="http://schemas.openxmlformats.org/officeDocument/2006/relationships/hyperlink" Target="https://www.facebook.com/StateOBO" TargetMode="External"/><Relationship Id="rId166" Type="http://schemas.openxmlformats.org/officeDocument/2006/relationships/hyperlink" Target="https://www.linkedin.com/showcase/usdos-obo/" TargetMode="External"/><Relationship Id="rId161" Type="http://schemas.openxmlformats.org/officeDocument/2006/relationships/hyperlink" Target="https://x.com/DirARTState" TargetMode="External"/><Relationship Id="rId160" Type="http://schemas.openxmlformats.org/officeDocument/2006/relationships/hyperlink" Target="https://www.instagram.com/artinembassies" TargetMode="External"/><Relationship Id="rId159" Type="http://schemas.openxmlformats.org/officeDocument/2006/relationships/hyperlink" Target="https://www.youtube.com/user/artinembassies" TargetMode="External"/><Relationship Id="rId154" Type="http://schemas.openxmlformats.org/officeDocument/2006/relationships/hyperlink" Target="https://x.com/JTIP_State" TargetMode="External"/><Relationship Id="rId396" Type="http://schemas.openxmlformats.org/officeDocument/2006/relationships/hyperlink" Target="https://www.instagram.com/usconsulateperth/" TargetMode="External"/><Relationship Id="rId153" Type="http://schemas.openxmlformats.org/officeDocument/2006/relationships/hyperlink" Target="https://www.instagram.com/trafficking_in_persons_state/" TargetMode="External"/><Relationship Id="rId395" Type="http://schemas.openxmlformats.org/officeDocument/2006/relationships/hyperlink" Target="https://www.facebook.com/USConsulatePerth/" TargetMode="External"/><Relationship Id="rId152" Type="http://schemas.openxmlformats.org/officeDocument/2006/relationships/hyperlink" Target="https://www.facebook.com/usdos.jtip" TargetMode="External"/><Relationship Id="rId394" Type="http://schemas.openxmlformats.org/officeDocument/2006/relationships/hyperlink" Target="https://www.instagram.com/usconsulatemelbourne/" TargetMode="External"/><Relationship Id="rId151" Type="http://schemas.openxmlformats.org/officeDocument/2006/relationships/hyperlink" Target="https://x.com/USNPT" TargetMode="External"/><Relationship Id="rId393" Type="http://schemas.openxmlformats.org/officeDocument/2006/relationships/hyperlink" Target="https://www.facebook.com/USConsulateMelbourne/" TargetMode="External"/><Relationship Id="rId158" Type="http://schemas.openxmlformats.org/officeDocument/2006/relationships/hyperlink" Target="https://x.com/ArtinEmbassies" TargetMode="External"/><Relationship Id="rId157" Type="http://schemas.openxmlformats.org/officeDocument/2006/relationships/hyperlink" Target="https://www.facebook.com/ArtinembassiesAIE" TargetMode="External"/><Relationship Id="rId399" Type="http://schemas.openxmlformats.org/officeDocument/2006/relationships/hyperlink" Target="https://www.facebook.com/USEmbassyAustralia/" TargetMode="External"/><Relationship Id="rId156" Type="http://schemas.openxmlformats.org/officeDocument/2006/relationships/hyperlink" Target="https://www.instagram.com/state_seas/" TargetMode="External"/><Relationship Id="rId398" Type="http://schemas.openxmlformats.org/officeDocument/2006/relationships/hyperlink" Target="https://www.instagram.com/usconsulatesydney/" TargetMode="External"/><Relationship Id="rId155" Type="http://schemas.openxmlformats.org/officeDocument/2006/relationships/hyperlink" Target="https://x.com/StateSEAS" TargetMode="External"/><Relationship Id="rId397" Type="http://schemas.openxmlformats.org/officeDocument/2006/relationships/hyperlink" Target="https://www.facebook.com/USConsulateSydney/" TargetMode="External"/><Relationship Id="rId808" Type="http://schemas.openxmlformats.org/officeDocument/2006/relationships/hyperlink" Target="https://www.linkedin.com/showcase/u-s-embassy-the-hague-the-netherlands/" TargetMode="External"/><Relationship Id="rId807" Type="http://schemas.openxmlformats.org/officeDocument/2006/relationships/hyperlink" Target="https://youtube.com/@usembthehague" TargetMode="External"/><Relationship Id="rId806" Type="http://schemas.openxmlformats.org/officeDocument/2006/relationships/hyperlink" Target="https://x.com/usembthehague" TargetMode="External"/><Relationship Id="rId805" Type="http://schemas.openxmlformats.org/officeDocument/2006/relationships/hyperlink" Target="https://www.instagram.com/u.s.embassythehague" TargetMode="External"/><Relationship Id="rId809" Type="http://schemas.openxmlformats.org/officeDocument/2006/relationships/hyperlink" Target="https://x.com/USAmbNMacedonia" TargetMode="External"/><Relationship Id="rId800" Type="http://schemas.openxmlformats.org/officeDocument/2006/relationships/hyperlink" Target="https://www.facebook.com/USConGenAmsterdam/" TargetMode="External"/><Relationship Id="rId804" Type="http://schemas.openxmlformats.org/officeDocument/2006/relationships/hyperlink" Target="https://www.facebook.com/USEmbassyNL/" TargetMode="External"/><Relationship Id="rId803" Type="http://schemas.openxmlformats.org/officeDocument/2006/relationships/hyperlink" Target="https://www.youtube.com/channel/UC9Ip5mWcNskswATEaErx7rw" TargetMode="External"/><Relationship Id="rId802" Type="http://schemas.openxmlformats.org/officeDocument/2006/relationships/hyperlink" Target="https://x.com/ConGenAMS" TargetMode="External"/><Relationship Id="rId801" Type="http://schemas.openxmlformats.org/officeDocument/2006/relationships/hyperlink" Target="https://www.instagram.com/uscongenams" TargetMode="External"/><Relationship Id="rId40" Type="http://schemas.openxmlformats.org/officeDocument/2006/relationships/hyperlink" Target="https://x.com/EconAtState" TargetMode="External"/><Relationship Id="rId1334" Type="http://schemas.openxmlformats.org/officeDocument/2006/relationships/hyperlink" Target="https://www.linkedin.com/company/u.s.-embassy-in-mexico/" TargetMode="External"/><Relationship Id="rId1335" Type="http://schemas.openxmlformats.org/officeDocument/2006/relationships/hyperlink" Target="https://x.com/USConsularMex" TargetMode="External"/><Relationship Id="rId42" Type="http://schemas.openxmlformats.org/officeDocument/2006/relationships/hyperlink" Target="https://x.com/BizAtState" TargetMode="External"/><Relationship Id="rId1336" Type="http://schemas.openxmlformats.org/officeDocument/2006/relationships/hyperlink" Target="https://x.com/USEmbassyMEX" TargetMode="External"/><Relationship Id="rId41" Type="http://schemas.openxmlformats.org/officeDocument/2006/relationships/hyperlink" Target="https://x.com/STASatState" TargetMode="External"/><Relationship Id="rId1337" Type="http://schemas.openxmlformats.org/officeDocument/2006/relationships/hyperlink" Target="https://youtube.com/user/usembassymx" TargetMode="External"/><Relationship Id="rId44" Type="http://schemas.openxmlformats.org/officeDocument/2006/relationships/hyperlink" Target="https://www.facebook.com/usafcp/" TargetMode="External"/><Relationship Id="rId1338" Type="http://schemas.openxmlformats.org/officeDocument/2006/relationships/hyperlink" Target="https://www.whatsapp.com/channel/0029VaNr4kZ3wtbHFxm9Dh2D" TargetMode="External"/><Relationship Id="rId43" Type="http://schemas.openxmlformats.org/officeDocument/2006/relationships/hyperlink" Target="https://www.linkedin.com/company/bizatstate/" TargetMode="External"/><Relationship Id="rId1339" Type="http://schemas.openxmlformats.org/officeDocument/2006/relationships/hyperlink" Target="https://www.whatsapp.com/channel/0029Va7VTm42P59qkRYcyl3M" TargetMode="External"/><Relationship Id="rId46" Type="http://schemas.openxmlformats.org/officeDocument/2006/relationships/hyperlink" Target="https://www.facebook.com/AmericanEnglishforEducators" TargetMode="External"/><Relationship Id="rId45" Type="http://schemas.openxmlformats.org/officeDocument/2006/relationships/hyperlink" Target="https://www.facebook.com/AmericanEnglishatState/" TargetMode="External"/><Relationship Id="rId509" Type="http://schemas.openxmlformats.org/officeDocument/2006/relationships/hyperlink" Target="https://www.instagram.com/usembmongolia" TargetMode="External"/><Relationship Id="rId508" Type="http://schemas.openxmlformats.org/officeDocument/2006/relationships/hyperlink" Target="https://www.facebook.com/USEmbMongolia/" TargetMode="External"/><Relationship Id="rId503" Type="http://schemas.openxmlformats.org/officeDocument/2006/relationships/hyperlink" Target="https://x.com/USAmbKL" TargetMode="External"/><Relationship Id="rId745" Type="http://schemas.openxmlformats.org/officeDocument/2006/relationships/hyperlink" Target="https://x.com/USAmbIreland" TargetMode="External"/><Relationship Id="rId987" Type="http://schemas.openxmlformats.org/officeDocument/2006/relationships/hyperlink" Target="https://youtube.com/user/usembassybaghdad" TargetMode="External"/><Relationship Id="rId502" Type="http://schemas.openxmlformats.org/officeDocument/2006/relationships/hyperlink" Target="https://x.com/usembassykl" TargetMode="External"/><Relationship Id="rId744" Type="http://schemas.openxmlformats.org/officeDocument/2006/relationships/hyperlink" Target="https://www.instagram.com/usembassydublin" TargetMode="External"/><Relationship Id="rId986" Type="http://schemas.openxmlformats.org/officeDocument/2006/relationships/hyperlink" Target="https://x.com/USEmbBaghdad" TargetMode="External"/><Relationship Id="rId501" Type="http://schemas.openxmlformats.org/officeDocument/2006/relationships/hyperlink" Target="https://www.linkedin.com/company/usembassykl/" TargetMode="External"/><Relationship Id="rId743" Type="http://schemas.openxmlformats.org/officeDocument/2006/relationships/hyperlink" Target="https://www.youtube.com/user/USEmbReykjavik" TargetMode="External"/><Relationship Id="rId985" Type="http://schemas.openxmlformats.org/officeDocument/2006/relationships/hyperlink" Target="https://www.instagram.com/usembassybaghdad/" TargetMode="External"/><Relationship Id="rId500" Type="http://schemas.openxmlformats.org/officeDocument/2006/relationships/hyperlink" Target="https://www.instagram.com/usembassykl" TargetMode="External"/><Relationship Id="rId742" Type="http://schemas.openxmlformats.org/officeDocument/2006/relationships/hyperlink" Target="https://x.com/usembreykjavik" TargetMode="External"/><Relationship Id="rId984" Type="http://schemas.openxmlformats.org/officeDocument/2006/relationships/hyperlink" Target="https://www.facebook.com/USEmbassyBaghdad/" TargetMode="External"/><Relationship Id="rId507" Type="http://schemas.openxmlformats.org/officeDocument/2006/relationships/hyperlink" Target="https://x.com/USAmbMongolia" TargetMode="External"/><Relationship Id="rId749" Type="http://schemas.openxmlformats.org/officeDocument/2006/relationships/hyperlink" Target="https://x.com/usambitaly" TargetMode="External"/><Relationship Id="rId506" Type="http://schemas.openxmlformats.org/officeDocument/2006/relationships/hyperlink" Target="https://www.instagram.com/usembassymajuro/" TargetMode="External"/><Relationship Id="rId748" Type="http://schemas.openxmlformats.org/officeDocument/2006/relationships/hyperlink" Target="https://youtube.com/user/paodublin" TargetMode="External"/><Relationship Id="rId505" Type="http://schemas.openxmlformats.org/officeDocument/2006/relationships/hyperlink" Target="https://www.facebook.com/usembassymajuro/" TargetMode="External"/><Relationship Id="rId747" Type="http://schemas.openxmlformats.org/officeDocument/2006/relationships/hyperlink" Target="https://x.com/USEmbassyDublin" TargetMode="External"/><Relationship Id="rId989" Type="http://schemas.openxmlformats.org/officeDocument/2006/relationships/hyperlink" Target="https://www.facebook.com/USEmbassyJlm/" TargetMode="External"/><Relationship Id="rId504" Type="http://schemas.openxmlformats.org/officeDocument/2006/relationships/hyperlink" Target="https://youtube.com/@usembassykl" TargetMode="External"/><Relationship Id="rId746" Type="http://schemas.openxmlformats.org/officeDocument/2006/relationships/hyperlink" Target="https://facebook.com/usembassydublin" TargetMode="External"/><Relationship Id="rId988" Type="http://schemas.openxmlformats.org/officeDocument/2006/relationships/hyperlink" Target="https://x.com/USAmbIsrael" TargetMode="External"/><Relationship Id="rId48" Type="http://schemas.openxmlformats.org/officeDocument/2006/relationships/hyperlink" Target="https://x.com/AmericanSpaces" TargetMode="External"/><Relationship Id="rId47" Type="http://schemas.openxmlformats.org/officeDocument/2006/relationships/hyperlink" Target="https://www.youtube.com/user/StateAmericanEnglish" TargetMode="External"/><Relationship Id="rId49" Type="http://schemas.openxmlformats.org/officeDocument/2006/relationships/hyperlink" Target="https://x.com/ECA_AS" TargetMode="External"/><Relationship Id="rId741" Type="http://schemas.openxmlformats.org/officeDocument/2006/relationships/hyperlink" Target="https://www.instagram.com/usembreykjavik/" TargetMode="External"/><Relationship Id="rId983" Type="http://schemas.openxmlformats.org/officeDocument/2006/relationships/hyperlink" Target="https://www.youtube.com/@USCGERBIL" TargetMode="External"/><Relationship Id="rId1330" Type="http://schemas.openxmlformats.org/officeDocument/2006/relationships/hyperlink" Target="https://x.com/ConsuladoUSATJ" TargetMode="External"/><Relationship Id="rId740" Type="http://schemas.openxmlformats.org/officeDocument/2006/relationships/hyperlink" Target="https://www.facebook.com/USEmbReykjavik/" TargetMode="External"/><Relationship Id="rId982" Type="http://schemas.openxmlformats.org/officeDocument/2006/relationships/hyperlink" Target="https://x.com/USCGERBIL" TargetMode="External"/><Relationship Id="rId1331" Type="http://schemas.openxmlformats.org/officeDocument/2006/relationships/hyperlink" Target="https://youtube.com/user/usconsulatetj" TargetMode="External"/><Relationship Id="rId981" Type="http://schemas.openxmlformats.org/officeDocument/2006/relationships/hyperlink" Target="https://www.facebook.com/USCGErbil/" TargetMode="External"/><Relationship Id="rId1332" Type="http://schemas.openxmlformats.org/officeDocument/2006/relationships/hyperlink" Target="https://www.facebook.com/mexico.usembassy/" TargetMode="External"/><Relationship Id="rId980" Type="http://schemas.openxmlformats.org/officeDocument/2006/relationships/hyperlink" Target="https://www.instagram.com/uscgerbil/" TargetMode="External"/><Relationship Id="rId1333" Type="http://schemas.openxmlformats.org/officeDocument/2006/relationships/hyperlink" Target="https://www.instagram.com/usembassymex" TargetMode="External"/><Relationship Id="rId1323" Type="http://schemas.openxmlformats.org/officeDocument/2006/relationships/hyperlink" Target="https://x.com/USConsulateMTY" TargetMode="External"/><Relationship Id="rId1324" Type="http://schemas.openxmlformats.org/officeDocument/2006/relationships/hyperlink" Target="https://youtube.com/user/AmericanConsulateMTY" TargetMode="External"/><Relationship Id="rId31" Type="http://schemas.openxmlformats.org/officeDocument/2006/relationships/hyperlink" Target="https://www.facebook.com/GPAtState" TargetMode="External"/><Relationship Id="rId1325" Type="http://schemas.openxmlformats.org/officeDocument/2006/relationships/hyperlink" Target="https://www.facebook.com/ConsuladoNogales/" TargetMode="External"/><Relationship Id="rId30" Type="http://schemas.openxmlformats.org/officeDocument/2006/relationships/hyperlink" Target="https://www.linkedin.com/company/osacgov/" TargetMode="External"/><Relationship Id="rId1326" Type="http://schemas.openxmlformats.org/officeDocument/2006/relationships/hyperlink" Target="https://x.com/USCGNogales" TargetMode="External"/><Relationship Id="rId33" Type="http://schemas.openxmlformats.org/officeDocument/2006/relationships/hyperlink" Target="https://www.linkedin.com/company/gpatstate/" TargetMode="External"/><Relationship Id="rId1327" Type="http://schemas.openxmlformats.org/officeDocument/2006/relationships/hyperlink" Target="https://www.facebook.com/consuladonuevolaredo/" TargetMode="External"/><Relationship Id="rId32" Type="http://schemas.openxmlformats.org/officeDocument/2006/relationships/hyperlink" Target="https://x.com/GPatState" TargetMode="External"/><Relationship Id="rId1328" Type="http://schemas.openxmlformats.org/officeDocument/2006/relationships/hyperlink" Target="https://x.com/USAConNVL" TargetMode="External"/><Relationship Id="rId35" Type="http://schemas.openxmlformats.org/officeDocument/2006/relationships/hyperlink" Target="https://www.linkedin.com/company/state-e/" TargetMode="External"/><Relationship Id="rId1329" Type="http://schemas.openxmlformats.org/officeDocument/2006/relationships/hyperlink" Target="https://www.facebook.com/ConsuladoEstadosUnidosTijuana/" TargetMode="External"/><Relationship Id="rId34" Type="http://schemas.openxmlformats.org/officeDocument/2006/relationships/hyperlink" Target="https://www.linkedin.com/company/stas-at-state/" TargetMode="External"/><Relationship Id="rId739" Type="http://schemas.openxmlformats.org/officeDocument/2006/relationships/hyperlink" Target="https://x.com/USAmbIceland" TargetMode="External"/><Relationship Id="rId734" Type="http://schemas.openxmlformats.org/officeDocument/2006/relationships/hyperlink" Target="https://x.com/USAmbHungary" TargetMode="External"/><Relationship Id="rId976" Type="http://schemas.openxmlformats.org/officeDocument/2006/relationships/hyperlink" Target="https://www.instagram.com/usembassycairo" TargetMode="External"/><Relationship Id="rId733" Type="http://schemas.openxmlformats.org/officeDocument/2006/relationships/hyperlink" Target="https://www.instagram.com/usconsulatenuuk/" TargetMode="External"/><Relationship Id="rId975" Type="http://schemas.openxmlformats.org/officeDocument/2006/relationships/hyperlink" Target="https://www.flickr.com/photos/usembassycairo/" TargetMode="External"/><Relationship Id="rId732" Type="http://schemas.openxmlformats.org/officeDocument/2006/relationships/hyperlink" Target="https://www.facebook.com/usconsulatenuuk/" TargetMode="External"/><Relationship Id="rId974" Type="http://schemas.openxmlformats.org/officeDocument/2006/relationships/hyperlink" Target="https://www.facebook.com/USEmbassyCairo/" TargetMode="External"/><Relationship Id="rId731" Type="http://schemas.openxmlformats.org/officeDocument/2006/relationships/hyperlink" Target="https://x.com/USConsulateThes" TargetMode="External"/><Relationship Id="rId973" Type="http://schemas.openxmlformats.org/officeDocument/2006/relationships/hyperlink" Target="https://youtube.com/user/USEmbassyManama" TargetMode="External"/><Relationship Id="rId738" Type="http://schemas.openxmlformats.org/officeDocument/2006/relationships/hyperlink" Target="https://www.youtube.com/user/USEmbassyBudapest" TargetMode="External"/><Relationship Id="rId737" Type="http://schemas.openxmlformats.org/officeDocument/2006/relationships/hyperlink" Target="https://x.com/usembbudapest" TargetMode="External"/><Relationship Id="rId979" Type="http://schemas.openxmlformats.org/officeDocument/2006/relationships/hyperlink" Target="https://x.com/USAmbIraq" TargetMode="External"/><Relationship Id="rId736" Type="http://schemas.openxmlformats.org/officeDocument/2006/relationships/hyperlink" Target="https://www.instagram.com/usembhungary/" TargetMode="External"/><Relationship Id="rId978" Type="http://schemas.openxmlformats.org/officeDocument/2006/relationships/hyperlink" Target="https://www.youtube.com/@USEmbassyCairoEG" TargetMode="External"/><Relationship Id="rId735" Type="http://schemas.openxmlformats.org/officeDocument/2006/relationships/hyperlink" Target="https://facebook.com/hungary.usembassy" TargetMode="External"/><Relationship Id="rId977" Type="http://schemas.openxmlformats.org/officeDocument/2006/relationships/hyperlink" Target="https://x.com/USEmbassyCairo" TargetMode="External"/><Relationship Id="rId37" Type="http://schemas.openxmlformats.org/officeDocument/2006/relationships/hyperlink" Target="https://www.facebook.com/StateDeptE/" TargetMode="External"/><Relationship Id="rId36" Type="http://schemas.openxmlformats.org/officeDocument/2006/relationships/hyperlink" Target="https://x.com/State_E" TargetMode="External"/><Relationship Id="rId39" Type="http://schemas.openxmlformats.org/officeDocument/2006/relationships/hyperlink" Target="https://www.linkedin.com/company/econatstate/" TargetMode="External"/><Relationship Id="rId38" Type="http://schemas.openxmlformats.org/officeDocument/2006/relationships/hyperlink" Target="https://www.facebook.com/EconAtState" TargetMode="External"/><Relationship Id="rId730" Type="http://schemas.openxmlformats.org/officeDocument/2006/relationships/hyperlink" Target="https://www.facebook.com/thessaloniki.usconsulate/" TargetMode="External"/><Relationship Id="rId972" Type="http://schemas.openxmlformats.org/officeDocument/2006/relationships/hyperlink" Target="https://x.com/USEmbassyManama" TargetMode="External"/><Relationship Id="rId971" Type="http://schemas.openxmlformats.org/officeDocument/2006/relationships/hyperlink" Target="https://www.instagram.com/usembassybahrain" TargetMode="External"/><Relationship Id="rId1320" Type="http://schemas.openxmlformats.org/officeDocument/2006/relationships/hyperlink" Target="https://x.com/ConsuladoUSAMer" TargetMode="External"/><Relationship Id="rId970" Type="http://schemas.openxmlformats.org/officeDocument/2006/relationships/hyperlink" Target="https://www.facebook.com/AmericanEmbassyManama/" TargetMode="External"/><Relationship Id="rId1321" Type="http://schemas.openxmlformats.org/officeDocument/2006/relationships/hyperlink" Target="https://www.facebook.com/usconsulatemonterrey" TargetMode="External"/><Relationship Id="rId1322" Type="http://schemas.openxmlformats.org/officeDocument/2006/relationships/hyperlink" Target="https://www.flickr.com/photos/uscgmonterrey/sets/" TargetMode="External"/><Relationship Id="rId1114" Type="http://schemas.openxmlformats.org/officeDocument/2006/relationships/hyperlink" Target="https://www.instagram.com/usinkz" TargetMode="External"/><Relationship Id="rId1356" Type="http://schemas.openxmlformats.org/officeDocument/2006/relationships/hyperlink" Target="https://x.com/laembajada" TargetMode="External"/><Relationship Id="rId1115" Type="http://schemas.openxmlformats.org/officeDocument/2006/relationships/hyperlink" Target="https://www.instagram.com/usambkz/" TargetMode="External"/><Relationship Id="rId1357" Type="http://schemas.openxmlformats.org/officeDocument/2006/relationships/hyperlink" Target="https://youtube.com/user/EEUUParaguay" TargetMode="External"/><Relationship Id="rId20" Type="http://schemas.openxmlformats.org/officeDocument/2006/relationships/hyperlink" Target="https://www.instagram.com/usa_humanrights/" TargetMode="External"/><Relationship Id="rId1116" Type="http://schemas.openxmlformats.org/officeDocument/2006/relationships/hyperlink" Target="https://x.com/USEmbassyKAZ" TargetMode="External"/><Relationship Id="rId1358" Type="http://schemas.openxmlformats.org/officeDocument/2006/relationships/hyperlink" Target="https://www.flickr.com/photos/laembajada" TargetMode="External"/><Relationship Id="rId1117" Type="http://schemas.openxmlformats.org/officeDocument/2006/relationships/hyperlink" Target="https://www.youtube.com/user/usembassyastana" TargetMode="External"/><Relationship Id="rId1359" Type="http://schemas.openxmlformats.org/officeDocument/2006/relationships/hyperlink" Target="https://www.facebook.com/AmericanCitizenServicesLima/" TargetMode="External"/><Relationship Id="rId22" Type="http://schemas.openxmlformats.org/officeDocument/2006/relationships/hyperlink" Target="https://www.youtube.com/@bureauofdemocracyhumanrigh870" TargetMode="External"/><Relationship Id="rId1118" Type="http://schemas.openxmlformats.org/officeDocument/2006/relationships/hyperlink" Target="https://www.facebook.com/usembassy.bishkek/" TargetMode="External"/><Relationship Id="rId21" Type="http://schemas.openxmlformats.org/officeDocument/2006/relationships/hyperlink" Target="https://x.com/StateDRL" TargetMode="External"/><Relationship Id="rId1119" Type="http://schemas.openxmlformats.org/officeDocument/2006/relationships/hyperlink" Target="https://www.instagram.com/usembassybishkek" TargetMode="External"/><Relationship Id="rId24" Type="http://schemas.openxmlformats.org/officeDocument/2006/relationships/hyperlink" Target="https://www.instagram.com/statedeptdss/" TargetMode="External"/><Relationship Id="rId23" Type="http://schemas.openxmlformats.org/officeDocument/2006/relationships/hyperlink" Target="https://www.facebook.com/StateDeptDSS" TargetMode="External"/><Relationship Id="rId525" Type="http://schemas.openxmlformats.org/officeDocument/2006/relationships/hyperlink" Target="https://www.youtube.com/@USEmbassyPH/" TargetMode="External"/><Relationship Id="rId767" Type="http://schemas.openxmlformats.org/officeDocument/2006/relationships/hyperlink" Target="https://www.instagram.com/usembassypristina/" TargetMode="External"/><Relationship Id="rId524" Type="http://schemas.openxmlformats.org/officeDocument/2006/relationships/hyperlink" Target="https://www.linkedin.com/company/usembassyph/" TargetMode="External"/><Relationship Id="rId766" Type="http://schemas.openxmlformats.org/officeDocument/2006/relationships/hyperlink" Target="https://www.facebook.com/kosovo.usembassy/" TargetMode="External"/><Relationship Id="rId523" Type="http://schemas.openxmlformats.org/officeDocument/2006/relationships/hyperlink" Target="https://www.instagram.com/usembassyph" TargetMode="External"/><Relationship Id="rId765" Type="http://schemas.openxmlformats.org/officeDocument/2006/relationships/hyperlink" Target="https://x.com/USAmbKosovo" TargetMode="External"/><Relationship Id="rId522" Type="http://schemas.openxmlformats.org/officeDocument/2006/relationships/hyperlink" Target="https://www.facebook.com/USEmbassyPH/" TargetMode="External"/><Relationship Id="rId764" Type="http://schemas.openxmlformats.org/officeDocument/2006/relationships/hyperlink" Target="https://youtube.com/user/AmbasciataUSA" TargetMode="External"/><Relationship Id="rId529" Type="http://schemas.openxmlformats.org/officeDocument/2006/relationships/hyperlink" Target="https://x.com/usembassysamoa" TargetMode="External"/><Relationship Id="rId528" Type="http://schemas.openxmlformats.org/officeDocument/2006/relationships/hyperlink" Target="https://instagram.com/usembassysamoa" TargetMode="External"/><Relationship Id="rId527" Type="http://schemas.openxmlformats.org/officeDocument/2006/relationships/hyperlink" Target="https://www.facebook.com/samoa.usembassy/" TargetMode="External"/><Relationship Id="rId769" Type="http://schemas.openxmlformats.org/officeDocument/2006/relationships/hyperlink" Target="https://www.facebook.com/usembassyriga/" TargetMode="External"/><Relationship Id="rId526" Type="http://schemas.openxmlformats.org/officeDocument/2006/relationships/hyperlink" Target="https://x.com/usembassyph" TargetMode="External"/><Relationship Id="rId768" Type="http://schemas.openxmlformats.org/officeDocument/2006/relationships/hyperlink" Target="https://x.com/USEmbPristina" TargetMode="External"/><Relationship Id="rId26" Type="http://schemas.openxmlformats.org/officeDocument/2006/relationships/hyperlink" Target="https://www.youtube.com/@DiplomaticSecurityService" TargetMode="External"/><Relationship Id="rId25" Type="http://schemas.openxmlformats.org/officeDocument/2006/relationships/hyperlink" Target="https://x.com/StateDeptDSS" TargetMode="External"/><Relationship Id="rId28" Type="http://schemas.openxmlformats.org/officeDocument/2006/relationships/hyperlink" Target="https://www.flickr.com/people/statedeptdss/" TargetMode="External"/><Relationship Id="rId1350" Type="http://schemas.openxmlformats.org/officeDocument/2006/relationships/hyperlink" Target="https://x.com/USEmbPAN" TargetMode="External"/><Relationship Id="rId27" Type="http://schemas.openxmlformats.org/officeDocument/2006/relationships/hyperlink" Target="https://www.linkedin.com/showcase/diplomatic-security-service/" TargetMode="External"/><Relationship Id="rId1351" Type="http://schemas.openxmlformats.org/officeDocument/2006/relationships/hyperlink" Target="https://www.linkedin.com/company/u-s-embassy-panama/" TargetMode="External"/><Relationship Id="rId521" Type="http://schemas.openxmlformats.org/officeDocument/2006/relationships/hyperlink" Target="https://x.com/USAmbPH" TargetMode="External"/><Relationship Id="rId763" Type="http://schemas.openxmlformats.org/officeDocument/2006/relationships/hyperlink" Target="https://x.com/AmbasciataUSA" TargetMode="External"/><Relationship Id="rId1110" Type="http://schemas.openxmlformats.org/officeDocument/2006/relationships/hyperlink" Target="https://www.facebook.com/uscgalmaty/" TargetMode="External"/><Relationship Id="rId1352" Type="http://schemas.openxmlformats.org/officeDocument/2006/relationships/hyperlink" Target="https://www.flickr.com/photos/usembassypanama" TargetMode="External"/><Relationship Id="rId29" Type="http://schemas.openxmlformats.org/officeDocument/2006/relationships/hyperlink" Target="https://x.com/OSACState" TargetMode="External"/><Relationship Id="rId520" Type="http://schemas.openxmlformats.org/officeDocument/2006/relationships/hyperlink" Target="https://x.com/USEmbassyPOM" TargetMode="External"/><Relationship Id="rId762" Type="http://schemas.openxmlformats.org/officeDocument/2006/relationships/hyperlink" Target="https://www.instagram.com/ambasciatausa/" TargetMode="External"/><Relationship Id="rId1111" Type="http://schemas.openxmlformats.org/officeDocument/2006/relationships/hyperlink" Target="https://www.instagram.com/uscgalmaty" TargetMode="External"/><Relationship Id="rId1353" Type="http://schemas.openxmlformats.org/officeDocument/2006/relationships/hyperlink" Target="https://x.com/USAmbPY" TargetMode="External"/><Relationship Id="rId761" Type="http://schemas.openxmlformats.org/officeDocument/2006/relationships/hyperlink" Target="https://www.facebook.com/AmbasciataUSA/871" TargetMode="External"/><Relationship Id="rId1112" Type="http://schemas.openxmlformats.org/officeDocument/2006/relationships/hyperlink" Target="https://x.com/USCGAlmaty" TargetMode="External"/><Relationship Id="rId1354" Type="http://schemas.openxmlformats.org/officeDocument/2006/relationships/hyperlink" Target="https://www.facebook.com/laembajada" TargetMode="External"/><Relationship Id="rId760" Type="http://schemas.openxmlformats.org/officeDocument/2006/relationships/hyperlink" Target="https://www.youtube.com/user/ConsolatoUSANapoli" TargetMode="External"/><Relationship Id="rId1113" Type="http://schemas.openxmlformats.org/officeDocument/2006/relationships/hyperlink" Target="https://www.facebook.com/usinkaz/" TargetMode="External"/><Relationship Id="rId1355" Type="http://schemas.openxmlformats.org/officeDocument/2006/relationships/hyperlink" Target="https://www.instagram.com/laembajada" TargetMode="External"/><Relationship Id="rId1103" Type="http://schemas.openxmlformats.org/officeDocument/2006/relationships/hyperlink" Target="https://www.flickr.com/photos/usconsulatemumbai/sets" TargetMode="External"/><Relationship Id="rId1345" Type="http://schemas.openxmlformats.org/officeDocument/2006/relationships/hyperlink" Target="https://www.linkedin.com/company/usembassymanagua/" TargetMode="External"/><Relationship Id="rId1104" Type="http://schemas.openxmlformats.org/officeDocument/2006/relationships/hyperlink" Target="https://www.youtube.com/user/usconsulatemumbai" TargetMode="External"/><Relationship Id="rId1346" Type="http://schemas.openxmlformats.org/officeDocument/2006/relationships/hyperlink" Target="https://www.flickr.com/photos/usembassymga/" TargetMode="External"/><Relationship Id="rId1105" Type="http://schemas.openxmlformats.org/officeDocument/2006/relationships/hyperlink" Target="https://www.facebook.com/India.usembassy/" TargetMode="External"/><Relationship Id="rId1347" Type="http://schemas.openxmlformats.org/officeDocument/2006/relationships/hyperlink" Target="https://x.com/USAmbassadorPAN" TargetMode="External"/><Relationship Id="rId1106" Type="http://schemas.openxmlformats.org/officeDocument/2006/relationships/hyperlink" Target="https://www.instagram.com/usembassyindia" TargetMode="External"/><Relationship Id="rId1348" Type="http://schemas.openxmlformats.org/officeDocument/2006/relationships/hyperlink" Target="https://www.facebook.com/panamaestamosunidos/" TargetMode="External"/><Relationship Id="rId11" Type="http://schemas.openxmlformats.org/officeDocument/2006/relationships/hyperlink" Target="https://www.youtube.com/@StateCDP" TargetMode="External"/><Relationship Id="rId1107" Type="http://schemas.openxmlformats.org/officeDocument/2006/relationships/hyperlink" Target="https://x.com/USAndIndia" TargetMode="External"/><Relationship Id="rId1349" Type="http://schemas.openxmlformats.org/officeDocument/2006/relationships/hyperlink" Target="https://www.instagram.com/usembpan" TargetMode="External"/><Relationship Id="rId10" Type="http://schemas.openxmlformats.org/officeDocument/2006/relationships/hyperlink" Target="https://www.linkedin.com/company/bureau-of-cyberspace-and-digital-policy/" TargetMode="External"/><Relationship Id="rId1108" Type="http://schemas.openxmlformats.org/officeDocument/2006/relationships/hyperlink" Target="https://www.flickr.com/photos/usembassynewdelhi/" TargetMode="External"/><Relationship Id="rId13" Type="http://schemas.openxmlformats.org/officeDocument/2006/relationships/hyperlink" Target="https://x.com/CSOAsstSec" TargetMode="External"/><Relationship Id="rId1109" Type="http://schemas.openxmlformats.org/officeDocument/2006/relationships/hyperlink" Target="https://www.youtube.com/@USEmbassyNewDelhi" TargetMode="External"/><Relationship Id="rId12" Type="http://schemas.openxmlformats.org/officeDocument/2006/relationships/hyperlink" Target="https://www.facebook.com/stateCSO/" TargetMode="External"/><Relationship Id="rId519" Type="http://schemas.openxmlformats.org/officeDocument/2006/relationships/hyperlink" Target="https://www.facebook.com/usembassyportmoresby/" TargetMode="External"/><Relationship Id="rId514" Type="http://schemas.openxmlformats.org/officeDocument/2006/relationships/hyperlink" Target="https://www.flickr.com/photos/us_embassy_newzealand/" TargetMode="External"/><Relationship Id="rId756" Type="http://schemas.openxmlformats.org/officeDocument/2006/relationships/hyperlink" Target="https://youtube.com/user/USConsMilan" TargetMode="External"/><Relationship Id="rId998" Type="http://schemas.openxmlformats.org/officeDocument/2006/relationships/hyperlink" Target="https://x.com/USPalAffairs" TargetMode="External"/><Relationship Id="rId513" Type="http://schemas.openxmlformats.org/officeDocument/2006/relationships/hyperlink" Target="https://www.facebook.com/newzealand.usembassy/" TargetMode="External"/><Relationship Id="rId755" Type="http://schemas.openxmlformats.org/officeDocument/2006/relationships/hyperlink" Target="https://x.com/USConsMilan" TargetMode="External"/><Relationship Id="rId997" Type="http://schemas.openxmlformats.org/officeDocument/2006/relationships/hyperlink" Target="https://www.instagram.com/uspalestinianaffairs/" TargetMode="External"/><Relationship Id="rId512" Type="http://schemas.openxmlformats.org/officeDocument/2006/relationships/hyperlink" Target="https://x.com/USAmbNZ" TargetMode="External"/><Relationship Id="rId754" Type="http://schemas.openxmlformats.org/officeDocument/2006/relationships/hyperlink" Target="https://www.linkedin.com/company/us-consulate-general-of-the-united-states-in-milan/" TargetMode="External"/><Relationship Id="rId996" Type="http://schemas.openxmlformats.org/officeDocument/2006/relationships/hyperlink" Target="https://www.facebook.com/USPalestinianAffairs/" TargetMode="External"/><Relationship Id="rId511" Type="http://schemas.openxmlformats.org/officeDocument/2006/relationships/hyperlink" Target="https://youtube.com/@USAinMongolia" TargetMode="External"/><Relationship Id="rId753" Type="http://schemas.openxmlformats.org/officeDocument/2006/relationships/hyperlink" Target="https://www.instagram.com/usconsmilan" TargetMode="External"/><Relationship Id="rId995" Type="http://schemas.openxmlformats.org/officeDocument/2006/relationships/hyperlink" Target="https://youtube.com/user/USEmbassyTelAviv" TargetMode="External"/><Relationship Id="rId518" Type="http://schemas.openxmlformats.org/officeDocument/2006/relationships/hyperlink" Target="https://www.facebook.com/usembassykoror/" TargetMode="External"/><Relationship Id="rId517" Type="http://schemas.openxmlformats.org/officeDocument/2006/relationships/hyperlink" Target="https://youtube.com/@usembassynewzealand" TargetMode="External"/><Relationship Id="rId759" Type="http://schemas.openxmlformats.org/officeDocument/2006/relationships/hyperlink" Target="https://x.com/USAnelSud" TargetMode="External"/><Relationship Id="rId516" Type="http://schemas.openxmlformats.org/officeDocument/2006/relationships/hyperlink" Target="https://x.com/usembassynz" TargetMode="External"/><Relationship Id="rId758" Type="http://schemas.openxmlformats.org/officeDocument/2006/relationships/hyperlink" Target="https://www.instagram.com/usanelsud" TargetMode="External"/><Relationship Id="rId515" Type="http://schemas.openxmlformats.org/officeDocument/2006/relationships/hyperlink" Target="https://www.instagram.com/usembassynz" TargetMode="External"/><Relationship Id="rId757" Type="http://schemas.openxmlformats.org/officeDocument/2006/relationships/hyperlink" Target="https://www.facebook.com/ConsolatoUSANapoli/" TargetMode="External"/><Relationship Id="rId999" Type="http://schemas.openxmlformats.org/officeDocument/2006/relationships/hyperlink" Target="https://youtube.com/user/UsConGenJerusalem" TargetMode="External"/><Relationship Id="rId15" Type="http://schemas.openxmlformats.org/officeDocument/2006/relationships/hyperlink" Target="https://x.com/DeputySecState" TargetMode="External"/><Relationship Id="rId990" Type="http://schemas.openxmlformats.org/officeDocument/2006/relationships/hyperlink" Target="https://www.flickr.com/photos/usembassyta" TargetMode="External"/><Relationship Id="rId14" Type="http://schemas.openxmlformats.org/officeDocument/2006/relationships/hyperlink" Target="https://x.com/StateDeptCT" TargetMode="External"/><Relationship Id="rId17" Type="http://schemas.openxmlformats.org/officeDocument/2006/relationships/hyperlink" Target="https://x.com/DepSecStateMR" TargetMode="External"/><Relationship Id="rId16" Type="http://schemas.openxmlformats.org/officeDocument/2006/relationships/hyperlink" Target="https://www.instagram.com/deputysecstate/" TargetMode="External"/><Relationship Id="rId1340" Type="http://schemas.openxmlformats.org/officeDocument/2006/relationships/hyperlink" Target="https://www.flickr.com/photos/61972246@N08/" TargetMode="External"/><Relationship Id="rId19" Type="http://schemas.openxmlformats.org/officeDocument/2006/relationships/hyperlink" Target="https://www.facebook.com/StateDRL/" TargetMode="External"/><Relationship Id="rId510" Type="http://schemas.openxmlformats.org/officeDocument/2006/relationships/hyperlink" Target="https://x.com/usembmongolia" TargetMode="External"/><Relationship Id="rId752" Type="http://schemas.openxmlformats.org/officeDocument/2006/relationships/hyperlink" Target="https://www.facebook.com/USConsMilan/" TargetMode="External"/><Relationship Id="rId994" Type="http://schemas.openxmlformats.org/officeDocument/2006/relationships/hyperlink" Target="https://x.com/usembassyjlm" TargetMode="External"/><Relationship Id="rId1341" Type="http://schemas.openxmlformats.org/officeDocument/2006/relationships/hyperlink" Target="https://x.com/USAmbNicaragua" TargetMode="External"/><Relationship Id="rId18" Type="http://schemas.openxmlformats.org/officeDocument/2006/relationships/hyperlink" Target="https://www.instagram.com/depsecstatemr/" TargetMode="External"/><Relationship Id="rId751" Type="http://schemas.openxmlformats.org/officeDocument/2006/relationships/hyperlink" Target="https://x.com/uscgflorence" TargetMode="External"/><Relationship Id="rId993" Type="http://schemas.openxmlformats.org/officeDocument/2006/relationships/hyperlink" Target="https://t.me/usembassyjerusalem" TargetMode="External"/><Relationship Id="rId1100" Type="http://schemas.openxmlformats.org/officeDocument/2006/relationships/hyperlink" Target="https://www.instagram.com/usconsulategeneralmumbai" TargetMode="External"/><Relationship Id="rId1342" Type="http://schemas.openxmlformats.org/officeDocument/2006/relationships/hyperlink" Target="https://www.facebook.com/embusanic/" TargetMode="External"/><Relationship Id="rId750" Type="http://schemas.openxmlformats.org/officeDocument/2006/relationships/hyperlink" Target="https://facebook.com/USCGFlorence" TargetMode="External"/><Relationship Id="rId992" Type="http://schemas.openxmlformats.org/officeDocument/2006/relationships/hyperlink" Target="https://www.linkedin.com/company/usembassyjlm/" TargetMode="External"/><Relationship Id="rId1101" Type="http://schemas.openxmlformats.org/officeDocument/2006/relationships/hyperlink" Target="https://x.com/USAndMumbai" TargetMode="External"/><Relationship Id="rId1343" Type="http://schemas.openxmlformats.org/officeDocument/2006/relationships/hyperlink" Target="https://www.instagram.com/embusanic" TargetMode="External"/><Relationship Id="rId991" Type="http://schemas.openxmlformats.org/officeDocument/2006/relationships/hyperlink" Target="https://www.instagram.com/usembassyjlm/" TargetMode="External"/><Relationship Id="rId1102" Type="http://schemas.openxmlformats.org/officeDocument/2006/relationships/hyperlink" Target="https://www.linkedin.com/company/u-s-consulate-general-mumbai/" TargetMode="External"/><Relationship Id="rId1344" Type="http://schemas.openxmlformats.org/officeDocument/2006/relationships/hyperlink" Target="https://x.com/USEmbNicaragua" TargetMode="External"/><Relationship Id="rId84" Type="http://schemas.openxmlformats.org/officeDocument/2006/relationships/hyperlink" Target="https://www.linkedin.com/company/foreign-service-institute/" TargetMode="External"/><Relationship Id="rId83" Type="http://schemas.openxmlformats.org/officeDocument/2006/relationships/hyperlink" Target="https://x.com/fsiatstate" TargetMode="External"/><Relationship Id="rId86" Type="http://schemas.openxmlformats.org/officeDocument/2006/relationships/hyperlink" Target="https://x.com/HistoryAtState" TargetMode="External"/><Relationship Id="rId85" Type="http://schemas.openxmlformats.org/officeDocument/2006/relationships/hyperlink" Target="https://www.youtube.com/@FSI4000/" TargetMode="External"/><Relationship Id="rId88" Type="http://schemas.openxmlformats.org/officeDocument/2006/relationships/hyperlink" Target="https://x.com/AfricaMediaHub" TargetMode="External"/><Relationship Id="rId87" Type="http://schemas.openxmlformats.org/officeDocument/2006/relationships/hyperlink" Target="https://www.facebook.com/USAfricaMediaHub/" TargetMode="External"/><Relationship Id="rId89" Type="http://schemas.openxmlformats.org/officeDocument/2006/relationships/hyperlink" Target="https://www.facebook.com/eapmediahub" TargetMode="External"/><Relationship Id="rId709" Type="http://schemas.openxmlformats.org/officeDocument/2006/relationships/hyperlink" Target="https://x.com/usconshamburg" TargetMode="External"/><Relationship Id="rId708" Type="http://schemas.openxmlformats.org/officeDocument/2006/relationships/hyperlink" Target="https://www.instagram.com/usconshamburg/" TargetMode="External"/><Relationship Id="rId707" Type="http://schemas.openxmlformats.org/officeDocument/2006/relationships/hyperlink" Target="https://www.facebook.com/USConsulateHamburg/" TargetMode="External"/><Relationship Id="rId949" Type="http://schemas.openxmlformats.org/officeDocument/2006/relationships/hyperlink" Target="https://www.linkedin.com/company/usmissiongeneva/" TargetMode="External"/><Relationship Id="rId706" Type="http://schemas.openxmlformats.org/officeDocument/2006/relationships/hyperlink" Target="https://www.youtube.com/user/FrankfurtUSConsulate" TargetMode="External"/><Relationship Id="rId948" Type="http://schemas.openxmlformats.org/officeDocument/2006/relationships/hyperlink" Target="https://www.instagram.com/usmissiongeneva/" TargetMode="External"/><Relationship Id="rId80" Type="http://schemas.openxmlformats.org/officeDocument/2006/relationships/hyperlink" Target="https://www.linkedin.com/company/bureauofenergyresources/" TargetMode="External"/><Relationship Id="rId82" Type="http://schemas.openxmlformats.org/officeDocument/2006/relationships/hyperlink" Target="https://www.facebook.com/ForeignServiceInstituteFSI/" TargetMode="External"/><Relationship Id="rId81" Type="http://schemas.openxmlformats.org/officeDocument/2006/relationships/hyperlink" Target="https://www.youtube.com/@bureauofenergyresources5835" TargetMode="External"/><Relationship Id="rId701" Type="http://schemas.openxmlformats.org/officeDocument/2006/relationships/hyperlink" Target="https://www.linkedin.com/in/us-consulate-general-duesseldorf-99aba023b/" TargetMode="External"/><Relationship Id="rId943" Type="http://schemas.openxmlformats.org/officeDocument/2006/relationships/hyperlink" Target="https://x.com/USUNRome" TargetMode="External"/><Relationship Id="rId700" Type="http://schemas.openxmlformats.org/officeDocument/2006/relationships/hyperlink" Target="https://x.com/USConGenNRW" TargetMode="External"/><Relationship Id="rId942" Type="http://schemas.openxmlformats.org/officeDocument/2006/relationships/hyperlink" Target="https://www.linkedin.com/company/us-mission-to-the-un-agencies-in-rome/" TargetMode="External"/><Relationship Id="rId941" Type="http://schemas.openxmlformats.org/officeDocument/2006/relationships/hyperlink" Target="https://www.instagram.com/usunrome" TargetMode="External"/><Relationship Id="rId940" Type="http://schemas.openxmlformats.org/officeDocument/2006/relationships/hyperlink" Target="https://www.facebook.com/usunrome/" TargetMode="External"/><Relationship Id="rId705" Type="http://schemas.openxmlformats.org/officeDocument/2006/relationships/hyperlink" Target="https://x.com/usconsfrankfurt" TargetMode="External"/><Relationship Id="rId947" Type="http://schemas.openxmlformats.org/officeDocument/2006/relationships/hyperlink" Target="https://x.com/usmissiongeneva" TargetMode="External"/><Relationship Id="rId704" Type="http://schemas.openxmlformats.org/officeDocument/2006/relationships/hyperlink" Target="https://www.linkedin.com/company/usconsfrankfurt/" TargetMode="External"/><Relationship Id="rId946" Type="http://schemas.openxmlformats.org/officeDocument/2006/relationships/hyperlink" Target="https://www.flickr.com/photos/us-mission/" TargetMode="External"/><Relationship Id="rId703" Type="http://schemas.openxmlformats.org/officeDocument/2006/relationships/hyperlink" Target="https://www.instagram.com/usconsfrankfurt/" TargetMode="External"/><Relationship Id="rId945" Type="http://schemas.openxmlformats.org/officeDocument/2006/relationships/hyperlink" Target="https://facebook.com/usmissiongeneva" TargetMode="External"/><Relationship Id="rId702" Type="http://schemas.openxmlformats.org/officeDocument/2006/relationships/hyperlink" Target="https://www.facebook.com/usconsulate.frankfurt/" TargetMode="External"/><Relationship Id="rId944" Type="http://schemas.openxmlformats.org/officeDocument/2006/relationships/hyperlink" Target="https://www.youtube.com/@USUNRome" TargetMode="External"/><Relationship Id="rId73" Type="http://schemas.openxmlformats.org/officeDocument/2006/relationships/hyperlink" Target="https://x.com/SportsDiplomacy" TargetMode="External"/><Relationship Id="rId72" Type="http://schemas.openxmlformats.org/officeDocument/2006/relationships/hyperlink" Target="https://www.instagram.com/sportsdiplomacy/" TargetMode="External"/><Relationship Id="rId75" Type="http://schemas.openxmlformats.org/officeDocument/2006/relationships/hyperlink" Target="https://www.instagram.com/the_fulbright_program/" TargetMode="External"/><Relationship Id="rId74" Type="http://schemas.openxmlformats.org/officeDocument/2006/relationships/hyperlink" Target="https://www.facebook.com/fulbright" TargetMode="External"/><Relationship Id="rId77" Type="http://schemas.openxmlformats.org/officeDocument/2006/relationships/hyperlink" Target="https://www.linkedin.com/company/the-fulbright-program/" TargetMode="External"/><Relationship Id="rId76" Type="http://schemas.openxmlformats.org/officeDocument/2006/relationships/hyperlink" Target="https://x.com/FulbrightPrgrm" TargetMode="External"/><Relationship Id="rId79" Type="http://schemas.openxmlformats.org/officeDocument/2006/relationships/hyperlink" Target="https://x.com/EnergyAtState" TargetMode="External"/><Relationship Id="rId78" Type="http://schemas.openxmlformats.org/officeDocument/2006/relationships/hyperlink" Target="https://x.com/AsstSecENR" TargetMode="External"/><Relationship Id="rId939" Type="http://schemas.openxmlformats.org/officeDocument/2006/relationships/hyperlink" Target="https://x.com/USUNRomeAmb" TargetMode="External"/><Relationship Id="rId938" Type="http://schemas.openxmlformats.org/officeDocument/2006/relationships/hyperlink" Target="https://x.com/USUNESCO" TargetMode="External"/><Relationship Id="rId937" Type="http://schemas.openxmlformats.org/officeDocument/2006/relationships/hyperlink" Target="https://x.com/US_AU" TargetMode="External"/><Relationship Id="rId71" Type="http://schemas.openxmlformats.org/officeDocument/2006/relationships/hyperlink" Target="https://www.facebook.com/SportsDiplomacyDivision/" TargetMode="External"/><Relationship Id="rId70" Type="http://schemas.openxmlformats.org/officeDocument/2006/relationships/hyperlink" Target="https://www.linkedin.com/company/ivlp-international-visitor-leadership-program/" TargetMode="External"/><Relationship Id="rId932" Type="http://schemas.openxmlformats.org/officeDocument/2006/relationships/hyperlink" Target="https://www.facebook.com/USOSCE/" TargetMode="External"/><Relationship Id="rId931" Type="http://schemas.openxmlformats.org/officeDocument/2006/relationships/hyperlink" Target="https://www.youtube.com/@usunvie" TargetMode="External"/><Relationship Id="rId930" Type="http://schemas.openxmlformats.org/officeDocument/2006/relationships/hyperlink" Target="https://x.com/usunvie" TargetMode="External"/><Relationship Id="rId936" Type="http://schemas.openxmlformats.org/officeDocument/2006/relationships/hyperlink" Target="https://www.facebook.com/USAU09/" TargetMode="External"/><Relationship Id="rId935" Type="http://schemas.openxmlformats.org/officeDocument/2006/relationships/hyperlink" Target="https://vk.com/usosce" TargetMode="External"/><Relationship Id="rId934" Type="http://schemas.openxmlformats.org/officeDocument/2006/relationships/hyperlink" Target="https://x.com/USAmbOSCE" TargetMode="External"/><Relationship Id="rId933" Type="http://schemas.openxmlformats.org/officeDocument/2006/relationships/hyperlink" Target="https://x.com/usosce" TargetMode="External"/><Relationship Id="rId62" Type="http://schemas.openxmlformats.org/officeDocument/2006/relationships/hyperlink" Target="https://x.com/ELPrograms" TargetMode="External"/><Relationship Id="rId1312" Type="http://schemas.openxmlformats.org/officeDocument/2006/relationships/hyperlink" Target="https://www.facebook.com/USCGCdJuarez/" TargetMode="External"/><Relationship Id="rId61" Type="http://schemas.openxmlformats.org/officeDocument/2006/relationships/hyperlink" Target="https://www.youtube.com/user/EducationUSAtv" TargetMode="External"/><Relationship Id="rId1313" Type="http://schemas.openxmlformats.org/officeDocument/2006/relationships/hyperlink" Target="https://x.com/USCGCdJuarez" TargetMode="External"/><Relationship Id="rId64" Type="http://schemas.openxmlformats.org/officeDocument/2006/relationships/hyperlink" Target="https://www.instagram.com/voicesofexchange/" TargetMode="External"/><Relationship Id="rId1314" Type="http://schemas.openxmlformats.org/officeDocument/2006/relationships/hyperlink" Target="https://youtube.com/user/pasjuarez" TargetMode="External"/><Relationship Id="rId63" Type="http://schemas.openxmlformats.org/officeDocument/2006/relationships/hyperlink" Target="https://www.facebook.com/InternationalExchangeAlumni" TargetMode="External"/><Relationship Id="rId1315" Type="http://schemas.openxmlformats.org/officeDocument/2006/relationships/hyperlink" Target="https://whatsapp.com/channel/0029Va7VTm42P59qkRYcyl3M" TargetMode="External"/><Relationship Id="rId66" Type="http://schemas.openxmlformats.org/officeDocument/2006/relationships/hyperlink" Target="https://www.linkedin.com/company/exchangealumni/" TargetMode="External"/><Relationship Id="rId1316" Type="http://schemas.openxmlformats.org/officeDocument/2006/relationships/hyperlink" Target="https://www.facebook.com/USCGMatamoros/" TargetMode="External"/><Relationship Id="rId65" Type="http://schemas.openxmlformats.org/officeDocument/2006/relationships/hyperlink" Target="https://x.com/exchangealumni" TargetMode="External"/><Relationship Id="rId1317" Type="http://schemas.openxmlformats.org/officeDocument/2006/relationships/hyperlink" Target="https://x.com/USCGMatamoros" TargetMode="External"/><Relationship Id="rId68" Type="http://schemas.openxmlformats.org/officeDocument/2006/relationships/hyperlink" Target="https://www.instagram.com/StateIVLP/" TargetMode="External"/><Relationship Id="rId1318" Type="http://schemas.openxmlformats.org/officeDocument/2006/relationships/hyperlink" Target="https://youtube.com/user/uscgmatamoros" TargetMode="External"/><Relationship Id="rId67" Type="http://schemas.openxmlformats.org/officeDocument/2006/relationships/hyperlink" Target="https://www.facebook.com/StateIVLP" TargetMode="External"/><Relationship Id="rId1319" Type="http://schemas.openxmlformats.org/officeDocument/2006/relationships/hyperlink" Target="https://www.facebook.com/ConsuladoEstadosUnidosMerida/" TargetMode="External"/><Relationship Id="rId729" Type="http://schemas.openxmlformats.org/officeDocument/2006/relationships/hyperlink" Target="https://facebook.com/ConsularSectionUSEmbassyAthens" TargetMode="External"/><Relationship Id="rId728" Type="http://schemas.openxmlformats.org/officeDocument/2006/relationships/hyperlink" Target="https://www.youtube.com/MosaikoGR" TargetMode="External"/><Relationship Id="rId60" Type="http://schemas.openxmlformats.org/officeDocument/2006/relationships/hyperlink" Target="https://www.linkedin.com/company/educationusa/" TargetMode="External"/><Relationship Id="rId723" Type="http://schemas.openxmlformats.org/officeDocument/2006/relationships/hyperlink" Target="https://www.youtube.com/usbotschaft" TargetMode="External"/><Relationship Id="rId965" Type="http://schemas.openxmlformats.org/officeDocument/2006/relationships/hyperlink" Target="https://x.com/USAmbtoAlgeria" TargetMode="External"/><Relationship Id="rId722" Type="http://schemas.openxmlformats.org/officeDocument/2006/relationships/hyperlink" Target="https://x.com/usbotschaft" TargetMode="External"/><Relationship Id="rId964" Type="http://schemas.openxmlformats.org/officeDocument/2006/relationships/hyperlink" Target="https://x.com/USAmbICAO" TargetMode="External"/><Relationship Id="rId721" Type="http://schemas.openxmlformats.org/officeDocument/2006/relationships/hyperlink" Target="https://www.linkedin.com/company/u-s-mission-germany-human-resource-recruitment/" TargetMode="External"/><Relationship Id="rId963" Type="http://schemas.openxmlformats.org/officeDocument/2006/relationships/hyperlink" Target="https://x.com/USUN" TargetMode="External"/><Relationship Id="rId720" Type="http://schemas.openxmlformats.org/officeDocument/2006/relationships/hyperlink" Target="https://www.instagram.com/usbotschaft" TargetMode="External"/><Relationship Id="rId962" Type="http://schemas.openxmlformats.org/officeDocument/2006/relationships/hyperlink" Target="https://www.instagram.com/usun" TargetMode="External"/><Relationship Id="rId727" Type="http://schemas.openxmlformats.org/officeDocument/2006/relationships/hyperlink" Target="https://x.com/USEmbassyAthens" TargetMode="External"/><Relationship Id="rId969" Type="http://schemas.openxmlformats.org/officeDocument/2006/relationships/hyperlink" Target="https://youtube.com/user/USEmbassyAlgiers" TargetMode="External"/><Relationship Id="rId726" Type="http://schemas.openxmlformats.org/officeDocument/2006/relationships/hyperlink" Target="https://www.instagram.com/usembassyathens/" TargetMode="External"/><Relationship Id="rId968" Type="http://schemas.openxmlformats.org/officeDocument/2006/relationships/hyperlink" Target="https://x.com/USEmbAlgiers" TargetMode="External"/><Relationship Id="rId725" Type="http://schemas.openxmlformats.org/officeDocument/2006/relationships/hyperlink" Target="https://www.facebook.com/USEmbassyAthens/" TargetMode="External"/><Relationship Id="rId967" Type="http://schemas.openxmlformats.org/officeDocument/2006/relationships/hyperlink" Target="https://www.instagram.com/usembassyalgiers" TargetMode="External"/><Relationship Id="rId724" Type="http://schemas.openxmlformats.org/officeDocument/2006/relationships/hyperlink" Target="https://x.com/USAmbassadorGR" TargetMode="External"/><Relationship Id="rId966" Type="http://schemas.openxmlformats.org/officeDocument/2006/relationships/hyperlink" Target="https://www.facebook.com/USEmbassyAlgiers/" TargetMode="External"/><Relationship Id="rId69" Type="http://schemas.openxmlformats.org/officeDocument/2006/relationships/hyperlink" Target="https://x.com/StateIVLP" TargetMode="External"/><Relationship Id="rId961" Type="http://schemas.openxmlformats.org/officeDocument/2006/relationships/hyperlink" Target="https://x.com/USUNSpox" TargetMode="External"/><Relationship Id="rId960" Type="http://schemas.openxmlformats.org/officeDocument/2006/relationships/hyperlink" Target="https://facebook.com/USattheUN" TargetMode="External"/><Relationship Id="rId1310" Type="http://schemas.openxmlformats.org/officeDocument/2006/relationships/hyperlink" Target="https://youtube.com/user/usconsulateher" TargetMode="External"/><Relationship Id="rId1311" Type="http://schemas.openxmlformats.org/officeDocument/2006/relationships/hyperlink" Target="https://www.instagram.com/usconsuladoher/" TargetMode="External"/><Relationship Id="rId51" Type="http://schemas.openxmlformats.org/officeDocument/2006/relationships/hyperlink" Target="https://www.instagram.com/exchangeourworld" TargetMode="External"/><Relationship Id="rId1301" Type="http://schemas.openxmlformats.org/officeDocument/2006/relationships/hyperlink" Target="https://youtube.com/user/AmEmbassyKingston" TargetMode="External"/><Relationship Id="rId50" Type="http://schemas.openxmlformats.org/officeDocument/2006/relationships/hyperlink" Target="https://www.facebook.com/ExchangeProgramsAtState" TargetMode="External"/><Relationship Id="rId1302" Type="http://schemas.openxmlformats.org/officeDocument/2006/relationships/hyperlink" Target="https://www.flickr.com/photos/kingstonja" TargetMode="External"/><Relationship Id="rId53" Type="http://schemas.openxmlformats.org/officeDocument/2006/relationships/hyperlink" Target="https://www.youtube.com/user/exchangesvideo" TargetMode="External"/><Relationship Id="rId1303" Type="http://schemas.openxmlformats.org/officeDocument/2006/relationships/hyperlink" Target="https://x.com/USAmbMex" TargetMode="External"/><Relationship Id="rId52" Type="http://schemas.openxmlformats.org/officeDocument/2006/relationships/hyperlink" Target="https://x.com/ECAatState" TargetMode="External"/><Relationship Id="rId1304" Type="http://schemas.openxmlformats.org/officeDocument/2006/relationships/hyperlink" Target="https://whatsapp.com/channel/0029VaNr4kZ3wtbHFxm9Dh2D" TargetMode="External"/><Relationship Id="rId55" Type="http://schemas.openxmlformats.org/officeDocument/2006/relationships/hyperlink" Target="https://x.com/HeritageAtState" TargetMode="External"/><Relationship Id="rId1305" Type="http://schemas.openxmlformats.org/officeDocument/2006/relationships/hyperlink" Target="https://www.facebook.com/USCGGuadalajara/" TargetMode="External"/><Relationship Id="rId54" Type="http://schemas.openxmlformats.org/officeDocument/2006/relationships/hyperlink" Target="https://www.flickr.com/photos/exchangesphotos/" TargetMode="External"/><Relationship Id="rId1306" Type="http://schemas.openxmlformats.org/officeDocument/2006/relationships/hyperlink" Target="https://x.com/USCGGuadalajara" TargetMode="External"/><Relationship Id="rId57" Type="http://schemas.openxmlformats.org/officeDocument/2006/relationships/hyperlink" Target="https://www.facebook.com/EducationUSA/" TargetMode="External"/><Relationship Id="rId1307" Type="http://schemas.openxmlformats.org/officeDocument/2006/relationships/hyperlink" Target="https://youtube.com/user/pdgdl" TargetMode="External"/><Relationship Id="rId56" Type="http://schemas.openxmlformats.org/officeDocument/2006/relationships/hyperlink" Target="https://x.com/CultureAtState" TargetMode="External"/><Relationship Id="rId1308" Type="http://schemas.openxmlformats.org/officeDocument/2006/relationships/hyperlink" Target="https://www.facebook.com/USConsuladoHer/" TargetMode="External"/><Relationship Id="rId1309" Type="http://schemas.openxmlformats.org/officeDocument/2006/relationships/hyperlink" Target="https://x.com/USConsuladoHer" TargetMode="External"/><Relationship Id="rId719" Type="http://schemas.openxmlformats.org/officeDocument/2006/relationships/hyperlink" Target="https://www.facebook.com/usbotschaftberlin/" TargetMode="External"/><Relationship Id="rId718" Type="http://schemas.openxmlformats.org/officeDocument/2006/relationships/hyperlink" Target="https://www.youtube.com/user/usconsmunich" TargetMode="External"/><Relationship Id="rId717" Type="http://schemas.openxmlformats.org/officeDocument/2006/relationships/hyperlink" Target="https://x.com/usconsmunich" TargetMode="External"/><Relationship Id="rId959" Type="http://schemas.openxmlformats.org/officeDocument/2006/relationships/hyperlink" Target="https://x.com/usambun" TargetMode="External"/><Relationship Id="rId712" Type="http://schemas.openxmlformats.org/officeDocument/2006/relationships/hyperlink" Target="https://www.facebook.com/USConGenLeipzig/" TargetMode="External"/><Relationship Id="rId954" Type="http://schemas.openxmlformats.org/officeDocument/2006/relationships/hyperlink" Target="https://x.com/State_IO" TargetMode="External"/><Relationship Id="rId711" Type="http://schemas.openxmlformats.org/officeDocument/2006/relationships/hyperlink" Target="https://youtube.com/user/USConsGenHamburg" TargetMode="External"/><Relationship Id="rId953" Type="http://schemas.openxmlformats.org/officeDocument/2006/relationships/hyperlink" Target="https://x.com/usambgva" TargetMode="External"/><Relationship Id="rId710" Type="http://schemas.openxmlformats.org/officeDocument/2006/relationships/hyperlink" Target="https://www.linkedin.com/in/u-s-consulate-general-hamburg-456a69219/" TargetMode="External"/><Relationship Id="rId952" Type="http://schemas.openxmlformats.org/officeDocument/2006/relationships/hyperlink" Target="https://x.com/USAmbHRC" TargetMode="External"/><Relationship Id="rId951" Type="http://schemas.openxmlformats.org/officeDocument/2006/relationships/hyperlink" Target="https://x.com/USAmbCD" TargetMode="External"/><Relationship Id="rId716" Type="http://schemas.openxmlformats.org/officeDocument/2006/relationships/hyperlink" Target="https://www.instagram.com/usconsmunich" TargetMode="External"/><Relationship Id="rId958" Type="http://schemas.openxmlformats.org/officeDocument/2006/relationships/hyperlink" Target="https://x.com/AmbUNReform" TargetMode="External"/><Relationship Id="rId715" Type="http://schemas.openxmlformats.org/officeDocument/2006/relationships/hyperlink" Target="https://www.facebook.com/usconsulatemunich/" TargetMode="External"/><Relationship Id="rId957" Type="http://schemas.openxmlformats.org/officeDocument/2006/relationships/hyperlink" Target="https://x.com/USAmbCD" TargetMode="External"/><Relationship Id="rId714" Type="http://schemas.openxmlformats.org/officeDocument/2006/relationships/hyperlink" Target="https://x.com/USConsLeipzig" TargetMode="External"/><Relationship Id="rId956" Type="http://schemas.openxmlformats.org/officeDocument/2006/relationships/hyperlink" Target="https://www.linkedin.com/company/bureau-of-international-organization-affairs" TargetMode="External"/><Relationship Id="rId713" Type="http://schemas.openxmlformats.org/officeDocument/2006/relationships/hyperlink" Target="https://www.instagram.com/usconsleipzig/" TargetMode="External"/><Relationship Id="rId955" Type="http://schemas.openxmlformats.org/officeDocument/2006/relationships/hyperlink" Target="https://www.youtube.com/@StateIOVideo" TargetMode="External"/><Relationship Id="rId59" Type="http://schemas.openxmlformats.org/officeDocument/2006/relationships/hyperlink" Target="https://x.com/educationusa" TargetMode="External"/><Relationship Id="rId58" Type="http://schemas.openxmlformats.org/officeDocument/2006/relationships/hyperlink" Target="https://www.instagram.com/educationusa/" TargetMode="External"/><Relationship Id="rId950" Type="http://schemas.openxmlformats.org/officeDocument/2006/relationships/hyperlink" Target="https://www.youtube.com/@usmissiongeneva" TargetMode="External"/><Relationship Id="rId1300" Type="http://schemas.openxmlformats.org/officeDocument/2006/relationships/hyperlink" Target="https://x.com/USEmbassyJA" TargetMode="External"/><Relationship Id="rId590" Type="http://schemas.openxmlformats.org/officeDocument/2006/relationships/hyperlink" Target="https://www.facebook.com/USEmbVienna/" TargetMode="External"/><Relationship Id="rId107" Type="http://schemas.openxmlformats.org/officeDocument/2006/relationships/hyperlink" Target="https://x.com/USAemPortugues" TargetMode="External"/><Relationship Id="rId349" Type="http://schemas.openxmlformats.org/officeDocument/2006/relationships/hyperlink" Target="https://www.facebook.com/USinSeychelles" TargetMode="External"/><Relationship Id="rId106" Type="http://schemas.openxmlformats.org/officeDocument/2006/relationships/hyperlink" Target="https://x.com/USAUrdu" TargetMode="External"/><Relationship Id="rId348" Type="http://schemas.openxmlformats.org/officeDocument/2006/relationships/hyperlink" Target="https://www.youtube.com/@usembassysenegal" TargetMode="External"/><Relationship Id="rId105" Type="http://schemas.openxmlformats.org/officeDocument/2006/relationships/hyperlink" Target="https://www.facebook.com/USAUrdu/" TargetMode="External"/><Relationship Id="rId347" Type="http://schemas.openxmlformats.org/officeDocument/2006/relationships/hyperlink" Target="https://x.com/usembassydakar" TargetMode="External"/><Relationship Id="rId589" Type="http://schemas.openxmlformats.org/officeDocument/2006/relationships/hyperlink" Target="https://x.com/USAmbAustria" TargetMode="External"/><Relationship Id="rId104" Type="http://schemas.openxmlformats.org/officeDocument/2006/relationships/hyperlink" Target="https://x.com/USAHindiMein" TargetMode="External"/><Relationship Id="rId346" Type="http://schemas.openxmlformats.org/officeDocument/2006/relationships/hyperlink" Target="https://www.instagram.com/usembassydakar/" TargetMode="External"/><Relationship Id="rId588" Type="http://schemas.openxmlformats.org/officeDocument/2006/relationships/hyperlink" Target="https://www.linkedin.com/company/usembarmenia/" TargetMode="External"/><Relationship Id="rId109" Type="http://schemas.openxmlformats.org/officeDocument/2006/relationships/hyperlink" Target="https://x.com/USAenEspanol" TargetMode="External"/><Relationship Id="rId1170" Type="http://schemas.openxmlformats.org/officeDocument/2006/relationships/hyperlink" Target="https://x.com/USAmbassadorARG" TargetMode="External"/><Relationship Id="rId108" Type="http://schemas.openxmlformats.org/officeDocument/2006/relationships/hyperlink" Target="https://www.facebook.com/USAenEspanolOficial" TargetMode="External"/><Relationship Id="rId1171" Type="http://schemas.openxmlformats.org/officeDocument/2006/relationships/hyperlink" Target="https://www.facebook.com/EmbUSARG/" TargetMode="External"/><Relationship Id="rId341" Type="http://schemas.openxmlformats.org/officeDocument/2006/relationships/hyperlink" Target="https://x.com/USAmbRwanda" TargetMode="External"/><Relationship Id="rId583" Type="http://schemas.openxmlformats.org/officeDocument/2006/relationships/hyperlink" Target="https://x.com/USAmbAlbania" TargetMode="External"/><Relationship Id="rId1172" Type="http://schemas.openxmlformats.org/officeDocument/2006/relationships/hyperlink" Target="https://x.com/EmbajadaEEUUarg" TargetMode="External"/><Relationship Id="rId340" Type="http://schemas.openxmlformats.org/officeDocument/2006/relationships/hyperlink" Target="https://www.facebook.com/USAauCongo/" TargetMode="External"/><Relationship Id="rId582" Type="http://schemas.openxmlformats.org/officeDocument/2006/relationships/hyperlink" Target="https://www.youtube.com/USEmbassyTirana" TargetMode="External"/><Relationship Id="rId1173" Type="http://schemas.openxmlformats.org/officeDocument/2006/relationships/hyperlink" Target="https://x.com/USEmbArgentina" TargetMode="External"/><Relationship Id="rId581" Type="http://schemas.openxmlformats.org/officeDocument/2006/relationships/hyperlink" Target="https://x.com/USEmbassyTirana" TargetMode="External"/><Relationship Id="rId1174" Type="http://schemas.openxmlformats.org/officeDocument/2006/relationships/hyperlink" Target="https://whatsapp.com/channel/0029VajpIXs84OmAZsk8oz2N" TargetMode="External"/><Relationship Id="rId580" Type="http://schemas.openxmlformats.org/officeDocument/2006/relationships/hyperlink" Target="https://www.instagram.com/usembassytirana" TargetMode="External"/><Relationship Id="rId1175" Type="http://schemas.openxmlformats.org/officeDocument/2006/relationships/hyperlink" Target="https://www.linkedin.com/showcase/u-s-embassy-buenos-aires-argentina/" TargetMode="External"/><Relationship Id="rId103" Type="http://schemas.openxmlformats.org/officeDocument/2006/relationships/hyperlink" Target="https://www.facebook.com/USAHindiMein/" TargetMode="External"/><Relationship Id="rId345" Type="http://schemas.openxmlformats.org/officeDocument/2006/relationships/hyperlink" Target="https://www.facebook.com/usembassydakar/" TargetMode="External"/><Relationship Id="rId587" Type="http://schemas.openxmlformats.org/officeDocument/2006/relationships/hyperlink" Target="https://www.youtube.com/@usembassyarmenia/" TargetMode="External"/><Relationship Id="rId1176" Type="http://schemas.openxmlformats.org/officeDocument/2006/relationships/hyperlink" Target="https://www.flickr.com/photos/embajadaeeuubuenosaires/" TargetMode="External"/><Relationship Id="rId102" Type="http://schemas.openxmlformats.org/officeDocument/2006/relationships/hyperlink" Target="https://x.com/ForeignPressCtr" TargetMode="External"/><Relationship Id="rId344" Type="http://schemas.openxmlformats.org/officeDocument/2006/relationships/hyperlink" Target="https://x.com/usambrwanda" TargetMode="External"/><Relationship Id="rId586" Type="http://schemas.openxmlformats.org/officeDocument/2006/relationships/hyperlink" Target="https://x.com/usembarmenia" TargetMode="External"/><Relationship Id="rId1177" Type="http://schemas.openxmlformats.org/officeDocument/2006/relationships/hyperlink" Target="https://youtube.com/user/EmbajadaUSA" TargetMode="External"/><Relationship Id="rId101" Type="http://schemas.openxmlformats.org/officeDocument/2006/relationships/hyperlink" Target="https://www.facebook.com/USDoS.FPC" TargetMode="External"/><Relationship Id="rId343" Type="http://schemas.openxmlformats.org/officeDocument/2006/relationships/hyperlink" Target="https://www.facebook.com/kigali.usembassy/" TargetMode="External"/><Relationship Id="rId585" Type="http://schemas.openxmlformats.org/officeDocument/2006/relationships/hyperlink" Target="https://www.instagram.com/usembarmenia/" TargetMode="External"/><Relationship Id="rId1178" Type="http://schemas.openxmlformats.org/officeDocument/2006/relationships/hyperlink" Target="https://www.facebook.com/USEmbassyBarbados/" TargetMode="External"/><Relationship Id="rId100" Type="http://schemas.openxmlformats.org/officeDocument/2006/relationships/hyperlink" Target="https://x.com/USAbilAraby" TargetMode="External"/><Relationship Id="rId342" Type="http://schemas.openxmlformats.org/officeDocument/2006/relationships/hyperlink" Target="https://x.com/USAauCongo" TargetMode="External"/><Relationship Id="rId584" Type="http://schemas.openxmlformats.org/officeDocument/2006/relationships/hyperlink" Target="https://www.facebook.com/usembarmenia/" TargetMode="External"/><Relationship Id="rId1179" Type="http://schemas.openxmlformats.org/officeDocument/2006/relationships/hyperlink" Target="https://www.instagram.com/usembassybridgetown/" TargetMode="External"/><Relationship Id="rId1169" Type="http://schemas.openxmlformats.org/officeDocument/2006/relationships/hyperlink" Target="https://x.com/usembtashkent" TargetMode="External"/><Relationship Id="rId338" Type="http://schemas.openxmlformats.org/officeDocument/2006/relationships/hyperlink" Target="https://www.flickr.com/usembassynigeria" TargetMode="External"/><Relationship Id="rId337" Type="http://schemas.openxmlformats.org/officeDocument/2006/relationships/hyperlink" Target="https://www.youtube.com/usembassynigeria" TargetMode="External"/><Relationship Id="rId579" Type="http://schemas.openxmlformats.org/officeDocument/2006/relationships/hyperlink" Target="https://www.facebook.com/usembassytirana/" TargetMode="External"/><Relationship Id="rId336" Type="http://schemas.openxmlformats.org/officeDocument/2006/relationships/hyperlink" Target="https://x.com/USinNigeria" TargetMode="External"/><Relationship Id="rId578" Type="http://schemas.openxmlformats.org/officeDocument/2006/relationships/hyperlink" Target="https://zalo.me/usconsulate" TargetMode="External"/><Relationship Id="rId335" Type="http://schemas.openxmlformats.org/officeDocument/2006/relationships/hyperlink" Target="https://www.instagram.com/usinnigeria/" TargetMode="External"/><Relationship Id="rId577" Type="http://schemas.openxmlformats.org/officeDocument/2006/relationships/hyperlink" Target="https://youtube.com/user/achanoi" TargetMode="External"/><Relationship Id="rId339" Type="http://schemas.openxmlformats.org/officeDocument/2006/relationships/hyperlink" Target="https://soundcloud.com/usinnigeria" TargetMode="External"/><Relationship Id="rId1160" Type="http://schemas.openxmlformats.org/officeDocument/2006/relationships/hyperlink" Target="https://www.instagram.com/usembassyashgabat" TargetMode="External"/><Relationship Id="rId330" Type="http://schemas.openxmlformats.org/officeDocument/2006/relationships/hyperlink" Target="https://www.facebook.com/U.S.EmbassyNiamey/" TargetMode="External"/><Relationship Id="rId572" Type="http://schemas.openxmlformats.org/officeDocument/2006/relationships/hyperlink" Target="https://www.flickr.com/photos/usconsulatehcm/" TargetMode="External"/><Relationship Id="rId1161" Type="http://schemas.openxmlformats.org/officeDocument/2006/relationships/hyperlink" Target="https://www.youtube.com/user/IRCAshgabat" TargetMode="External"/><Relationship Id="rId571" Type="http://schemas.openxmlformats.org/officeDocument/2006/relationships/hyperlink" Target="https://www.facebook.com/USConsulateHCMC/" TargetMode="External"/><Relationship Id="rId1162" Type="http://schemas.openxmlformats.org/officeDocument/2006/relationships/hyperlink" Target="https://x.com/State_SCA" TargetMode="External"/><Relationship Id="rId570" Type="http://schemas.openxmlformats.org/officeDocument/2006/relationships/hyperlink" Target="https://www.facebook.com/usembassyvanuatu" TargetMode="External"/><Relationship Id="rId1163" Type="http://schemas.openxmlformats.org/officeDocument/2006/relationships/hyperlink" Target="https://x.com/US4AfghanPeace" TargetMode="External"/><Relationship Id="rId1164" Type="http://schemas.openxmlformats.org/officeDocument/2006/relationships/hyperlink" Target="https://x.com/UsAmbUzbekistan" TargetMode="External"/><Relationship Id="rId334" Type="http://schemas.openxmlformats.org/officeDocument/2006/relationships/hyperlink" Target="https://www.facebook.com/usinnigeria/" TargetMode="External"/><Relationship Id="rId576" Type="http://schemas.openxmlformats.org/officeDocument/2006/relationships/hyperlink" Target="https://www.instagram.com/usembassyvietnam/" TargetMode="External"/><Relationship Id="rId1165" Type="http://schemas.openxmlformats.org/officeDocument/2006/relationships/hyperlink" Target="https://www.facebook.com/usdos.uzbekistan/" TargetMode="External"/><Relationship Id="rId333" Type="http://schemas.openxmlformats.org/officeDocument/2006/relationships/hyperlink" Target="https://www.youtube.com/@USEmbassyNiamey" TargetMode="External"/><Relationship Id="rId575" Type="http://schemas.openxmlformats.org/officeDocument/2006/relationships/hyperlink" Target="https://www.flickr.com/photos/achanoi" TargetMode="External"/><Relationship Id="rId1166" Type="http://schemas.openxmlformats.org/officeDocument/2006/relationships/hyperlink" Target="https://www.instagram.com/usembassytashkent" TargetMode="External"/><Relationship Id="rId332" Type="http://schemas.openxmlformats.org/officeDocument/2006/relationships/hyperlink" Target="https://x.com/USEmbassyNiamey" TargetMode="External"/><Relationship Id="rId574" Type="http://schemas.openxmlformats.org/officeDocument/2006/relationships/hyperlink" Target="https://www.facebook.com/usembassyhanoi/" TargetMode="External"/><Relationship Id="rId1167" Type="http://schemas.openxmlformats.org/officeDocument/2006/relationships/hyperlink" Target="https://www.youtube.com/user/usembassytashkent" TargetMode="External"/><Relationship Id="rId331" Type="http://schemas.openxmlformats.org/officeDocument/2006/relationships/hyperlink" Target="https://www.instagram.com/usembassyniger" TargetMode="External"/><Relationship Id="rId573" Type="http://schemas.openxmlformats.org/officeDocument/2006/relationships/hyperlink" Target="https://youtube.com/user/usconsulatehcm" TargetMode="External"/><Relationship Id="rId1168" Type="http://schemas.openxmlformats.org/officeDocument/2006/relationships/hyperlink" Target="https://t.me/USAUzbekistan" TargetMode="External"/><Relationship Id="rId370" Type="http://schemas.openxmlformats.org/officeDocument/2006/relationships/hyperlink" Target="https://www.instagram.com/usembassytz/" TargetMode="External"/><Relationship Id="rId129" Type="http://schemas.openxmlformats.org/officeDocument/2006/relationships/hyperlink" Target="https://www.facebook.com/StateDeptGTM/" TargetMode="External"/><Relationship Id="rId128" Type="http://schemas.openxmlformats.org/officeDocument/2006/relationships/hyperlink" Target="https://www.linkedin.com/company/gclogei" TargetMode="External"/><Relationship Id="rId127" Type="http://schemas.openxmlformats.org/officeDocument/2006/relationships/hyperlink" Target="https://youtube.com/@GlobalCommunityLiaisonOffice" TargetMode="External"/><Relationship Id="rId369" Type="http://schemas.openxmlformats.org/officeDocument/2006/relationships/hyperlink" Target="https://www.facebook.com/usembassytz/" TargetMode="External"/><Relationship Id="rId126" Type="http://schemas.openxmlformats.org/officeDocument/2006/relationships/hyperlink" Target="https://www.facebook.com/GlobalCommunityLiaisonOffice" TargetMode="External"/><Relationship Id="rId368" Type="http://schemas.openxmlformats.org/officeDocument/2006/relationships/hyperlink" Target="https://x.com/USAmbTanzania" TargetMode="External"/><Relationship Id="rId1190" Type="http://schemas.openxmlformats.org/officeDocument/2006/relationships/hyperlink" Target="https://www.instagram.com/usembassybolivia" TargetMode="External"/><Relationship Id="rId1191" Type="http://schemas.openxmlformats.org/officeDocument/2006/relationships/hyperlink" Target="https://x.com/EmbEUAenBolivia" TargetMode="External"/><Relationship Id="rId1192" Type="http://schemas.openxmlformats.org/officeDocument/2006/relationships/hyperlink" Target="https://youtube.com/user/USEMBASSYLAPAZ" TargetMode="External"/><Relationship Id="rId1193" Type="http://schemas.openxmlformats.org/officeDocument/2006/relationships/hyperlink" Target="https://soundcloud.com/usembassylapaz" TargetMode="External"/><Relationship Id="rId121" Type="http://schemas.openxmlformats.org/officeDocument/2006/relationships/hyperlink" Target="https://x.com/StateDept" TargetMode="External"/><Relationship Id="rId363" Type="http://schemas.openxmlformats.org/officeDocument/2006/relationships/hyperlink" Target="https://www.facebook.com/USEmbassySouthSudan" TargetMode="External"/><Relationship Id="rId1194" Type="http://schemas.openxmlformats.org/officeDocument/2006/relationships/hyperlink" Target="https://x.com/USCitsBrazil" TargetMode="External"/><Relationship Id="rId120" Type="http://schemas.openxmlformats.org/officeDocument/2006/relationships/hyperlink" Target="https://www.linkedin.com/company/doscareers/" TargetMode="External"/><Relationship Id="rId362" Type="http://schemas.openxmlformats.org/officeDocument/2006/relationships/hyperlink" Target="https://www.linkedin.com/company/usembassysa/" TargetMode="External"/><Relationship Id="rId1195" Type="http://schemas.openxmlformats.org/officeDocument/2006/relationships/hyperlink" Target="https://whatsapp.com/channel/0029Vairm8jBKfhzWYUh5v1i" TargetMode="External"/><Relationship Id="rId361" Type="http://schemas.openxmlformats.org/officeDocument/2006/relationships/hyperlink" Target="https://www.youtube.com/@USEmbassySA" TargetMode="External"/><Relationship Id="rId1196" Type="http://schemas.openxmlformats.org/officeDocument/2006/relationships/hyperlink" Target="https://x.com/USAmbBR" TargetMode="External"/><Relationship Id="rId360" Type="http://schemas.openxmlformats.org/officeDocument/2006/relationships/hyperlink" Target="https://x.com/USEmbassySA" TargetMode="External"/><Relationship Id="rId1197" Type="http://schemas.openxmlformats.org/officeDocument/2006/relationships/hyperlink" Target="https://www.instagram.com/consuladoeua_nordeste" TargetMode="External"/><Relationship Id="rId125" Type="http://schemas.openxmlformats.org/officeDocument/2006/relationships/hyperlink" Target="https://x.com/StateDG" TargetMode="External"/><Relationship Id="rId367" Type="http://schemas.openxmlformats.org/officeDocument/2006/relationships/hyperlink" Target="https://x.com/USEmbassyKRT" TargetMode="External"/><Relationship Id="rId1198" Type="http://schemas.openxmlformats.org/officeDocument/2006/relationships/hyperlink" Target="https://www.facebook.com/consuladoeuarj.br/" TargetMode="External"/><Relationship Id="rId124" Type="http://schemas.openxmlformats.org/officeDocument/2006/relationships/hyperlink" Target="https://statedept.substack.com/" TargetMode="External"/><Relationship Id="rId366" Type="http://schemas.openxmlformats.org/officeDocument/2006/relationships/hyperlink" Target="https://www.facebook.com/khartoum.usembassy/" TargetMode="External"/><Relationship Id="rId1199" Type="http://schemas.openxmlformats.org/officeDocument/2006/relationships/hyperlink" Target="https://www.instagram.com/consuladoeua.rio" TargetMode="External"/><Relationship Id="rId123" Type="http://schemas.openxmlformats.org/officeDocument/2006/relationships/hyperlink" Target="https://rumble.com/c/StateDept" TargetMode="External"/><Relationship Id="rId365" Type="http://schemas.openxmlformats.org/officeDocument/2006/relationships/hyperlink" Target="https://x.com/USAMBSudan" TargetMode="External"/><Relationship Id="rId122" Type="http://schemas.openxmlformats.org/officeDocument/2006/relationships/hyperlink" Target="https://www.youtube.com/@StateDept" TargetMode="External"/><Relationship Id="rId364" Type="http://schemas.openxmlformats.org/officeDocument/2006/relationships/hyperlink" Target="https://x.com/USMissionJuba" TargetMode="External"/><Relationship Id="rId95" Type="http://schemas.openxmlformats.org/officeDocument/2006/relationships/hyperlink" Target="https://x.com/USApoRusski" TargetMode="External"/><Relationship Id="rId94" Type="http://schemas.openxmlformats.org/officeDocument/2006/relationships/hyperlink" Target="https://x.com/USAenFrancais" TargetMode="External"/><Relationship Id="rId97" Type="http://schemas.openxmlformats.org/officeDocument/2006/relationships/hyperlink" Target="https://x.com/statedeputyspox" TargetMode="External"/><Relationship Id="rId96" Type="http://schemas.openxmlformats.org/officeDocument/2006/relationships/hyperlink" Target="https://www.flickr.com/people/iip-photo-archive/" TargetMode="External"/><Relationship Id="rId99" Type="http://schemas.openxmlformats.org/officeDocument/2006/relationships/hyperlink" Target="https://www.instagram.com/usabilaraby/" TargetMode="External"/><Relationship Id="rId98" Type="http://schemas.openxmlformats.org/officeDocument/2006/relationships/hyperlink" Target="https://www.facebook.com/USAbilAraby/" TargetMode="External"/><Relationship Id="rId91" Type="http://schemas.openxmlformats.org/officeDocument/2006/relationships/hyperlink" Target="https://x.com/GPA_AS" TargetMode="External"/><Relationship Id="rId90" Type="http://schemas.openxmlformats.org/officeDocument/2006/relationships/hyperlink" Target="https://x.com/eAsiaMediaHub" TargetMode="External"/><Relationship Id="rId93" Type="http://schemas.openxmlformats.org/officeDocument/2006/relationships/hyperlink" Target="https://x.com/USAandEurope" TargetMode="External"/><Relationship Id="rId92" Type="http://schemas.openxmlformats.org/officeDocument/2006/relationships/hyperlink" Target="https://www.facebook.com/usaporusski/" TargetMode="External"/><Relationship Id="rId118" Type="http://schemas.openxmlformats.org/officeDocument/2006/relationships/hyperlink" Target="https://www.flickr.com/photos/statephotos" TargetMode="External"/><Relationship Id="rId117" Type="http://schemas.openxmlformats.org/officeDocument/2006/relationships/hyperlink" Target="https://www.facebook.com/statedept/" TargetMode="External"/><Relationship Id="rId359" Type="http://schemas.openxmlformats.org/officeDocument/2006/relationships/hyperlink" Target="https://www.instagram.com/usembassysa" TargetMode="External"/><Relationship Id="rId116" Type="http://schemas.openxmlformats.org/officeDocument/2006/relationships/hyperlink" Target="https://x.com/statedeptspox" TargetMode="External"/><Relationship Id="rId358" Type="http://schemas.openxmlformats.org/officeDocument/2006/relationships/hyperlink" Target="https://www.facebook.com/USEmbassySA/" TargetMode="External"/><Relationship Id="rId115" Type="http://schemas.openxmlformats.org/officeDocument/2006/relationships/hyperlink" Target="https://www.youtube.com/@MeiGuoCanKao/" TargetMode="External"/><Relationship Id="rId357" Type="http://schemas.openxmlformats.org/officeDocument/2006/relationships/hyperlink" Target="https://x.com/usconsulatect" TargetMode="External"/><Relationship Id="rId599" Type="http://schemas.openxmlformats.org/officeDocument/2006/relationships/hyperlink" Target="https://www.youtube.com/user/usosce" TargetMode="External"/><Relationship Id="rId1180" Type="http://schemas.openxmlformats.org/officeDocument/2006/relationships/hyperlink" Target="https://x.com/USEmbassyBTown" TargetMode="External"/><Relationship Id="rId1181" Type="http://schemas.openxmlformats.org/officeDocument/2006/relationships/hyperlink" Target="https://www.linkedin.com/company/u-s-embassy-bridgetown/" TargetMode="External"/><Relationship Id="rId119" Type="http://schemas.openxmlformats.org/officeDocument/2006/relationships/hyperlink" Target="https://www.instagram.com/statedept" TargetMode="External"/><Relationship Id="rId1182" Type="http://schemas.openxmlformats.org/officeDocument/2006/relationships/hyperlink" Target="https://youtube.com/user/USEmbassyBridgetown" TargetMode="External"/><Relationship Id="rId110" Type="http://schemas.openxmlformats.org/officeDocument/2006/relationships/hyperlink" Target="https://x.com/AmericaGovFr" TargetMode="External"/><Relationship Id="rId352" Type="http://schemas.openxmlformats.org/officeDocument/2006/relationships/hyperlink" Target="https://www.facebook.com/US2Somalia/" TargetMode="External"/><Relationship Id="rId594" Type="http://schemas.openxmlformats.org/officeDocument/2006/relationships/hyperlink" Target="https://www.youtube.com/user/USEmbassyVienna" TargetMode="External"/><Relationship Id="rId1183" Type="http://schemas.openxmlformats.org/officeDocument/2006/relationships/hyperlink" Target="https://www.flickr.com/photos/pasbridgetown" TargetMode="External"/><Relationship Id="rId351" Type="http://schemas.openxmlformats.org/officeDocument/2006/relationships/hyperlink" Target="https://x.com/USEmbFreetown" TargetMode="External"/><Relationship Id="rId593" Type="http://schemas.openxmlformats.org/officeDocument/2006/relationships/hyperlink" Target="https://x.com/usembvienna" TargetMode="External"/><Relationship Id="rId1184" Type="http://schemas.openxmlformats.org/officeDocument/2006/relationships/hyperlink" Target="https://www.facebook.com/USMissionBelize/" TargetMode="External"/><Relationship Id="rId350" Type="http://schemas.openxmlformats.org/officeDocument/2006/relationships/hyperlink" Target="https://www.facebook.com/sierraleone.usembassy/" TargetMode="External"/><Relationship Id="rId592" Type="http://schemas.openxmlformats.org/officeDocument/2006/relationships/hyperlink" Target="https://www.linkedin.com/company/us-embassy-vienna/" TargetMode="External"/><Relationship Id="rId1185" Type="http://schemas.openxmlformats.org/officeDocument/2006/relationships/hyperlink" Target="https://www.instagram.com/usmissionbelize/" TargetMode="External"/><Relationship Id="rId591" Type="http://schemas.openxmlformats.org/officeDocument/2006/relationships/hyperlink" Target="https://www.instagram.com/usembvienna" TargetMode="External"/><Relationship Id="rId1186" Type="http://schemas.openxmlformats.org/officeDocument/2006/relationships/hyperlink" Target="https://x.com/USMissionBelize" TargetMode="External"/><Relationship Id="rId114" Type="http://schemas.openxmlformats.org/officeDocument/2006/relationships/hyperlink" Target="https://www.youtube.com/user/Americagov" TargetMode="External"/><Relationship Id="rId356" Type="http://schemas.openxmlformats.org/officeDocument/2006/relationships/hyperlink" Target="https://www.instagram.com/usconsulatect/" TargetMode="External"/><Relationship Id="rId598" Type="http://schemas.openxmlformats.org/officeDocument/2006/relationships/hyperlink" Target="https://vk.com/usosce" TargetMode="External"/><Relationship Id="rId1187" Type="http://schemas.openxmlformats.org/officeDocument/2006/relationships/hyperlink" Target="https://youtube.com/channel/UCYwtJ0EVVwoq5MwjfPbHmNw" TargetMode="External"/><Relationship Id="rId113" Type="http://schemas.openxmlformats.org/officeDocument/2006/relationships/hyperlink" Target="https://x.com/ShareAmerica_Ar" TargetMode="External"/><Relationship Id="rId355" Type="http://schemas.openxmlformats.org/officeDocument/2006/relationships/hyperlink" Target="https://www.facebook.com/USConsulateCT/" TargetMode="External"/><Relationship Id="rId597" Type="http://schemas.openxmlformats.org/officeDocument/2006/relationships/hyperlink" Target="https://x.com/usosce" TargetMode="External"/><Relationship Id="rId1188" Type="http://schemas.openxmlformats.org/officeDocument/2006/relationships/hyperlink" Target="https://www.facebook.com/usdos.bolivia/" TargetMode="External"/><Relationship Id="rId112" Type="http://schemas.openxmlformats.org/officeDocument/2006/relationships/hyperlink" Target="https://x.com/shareamerica" TargetMode="External"/><Relationship Id="rId354" Type="http://schemas.openxmlformats.org/officeDocument/2006/relationships/hyperlink" Target="https://x.com/USAmbRSA" TargetMode="External"/><Relationship Id="rId596" Type="http://schemas.openxmlformats.org/officeDocument/2006/relationships/hyperlink" Target="https://x.com/USAmbOSCE" TargetMode="External"/><Relationship Id="rId1189" Type="http://schemas.openxmlformats.org/officeDocument/2006/relationships/hyperlink" Target="https://www.flickr.com/photos/usembassybolivia/" TargetMode="External"/><Relationship Id="rId111" Type="http://schemas.openxmlformats.org/officeDocument/2006/relationships/hyperlink" Target="https://x.com/MeiGuoCanKao" TargetMode="External"/><Relationship Id="rId353" Type="http://schemas.openxmlformats.org/officeDocument/2006/relationships/hyperlink" Target="https://x.com/US2SOMALIA" TargetMode="External"/><Relationship Id="rId595" Type="http://schemas.openxmlformats.org/officeDocument/2006/relationships/hyperlink" Target="https://www.facebook.com/USOSCE/" TargetMode="External"/><Relationship Id="rId1136" Type="http://schemas.openxmlformats.org/officeDocument/2006/relationships/hyperlink" Target="https://www.youtube.com/user/usconsulatekarachi" TargetMode="External"/><Relationship Id="rId1378" Type="http://schemas.openxmlformats.org/officeDocument/2006/relationships/hyperlink" Target="https://x.com/WHAAsstSecty" TargetMode="External"/><Relationship Id="rId1137" Type="http://schemas.openxmlformats.org/officeDocument/2006/relationships/hyperlink" Target="https://www.facebook.com/lahore.usconsulate/" TargetMode="External"/><Relationship Id="rId1379" Type="http://schemas.openxmlformats.org/officeDocument/2006/relationships/hyperlink" Target="https://youtube.com/user/whabureau" TargetMode="External"/><Relationship Id="rId1138" Type="http://schemas.openxmlformats.org/officeDocument/2006/relationships/hyperlink" Target="https://www.instagram.com/lahore.usconsulate" TargetMode="External"/><Relationship Id="rId1139" Type="http://schemas.openxmlformats.org/officeDocument/2006/relationships/hyperlink" Target="https://www.flickr.com/photos/uscglahore/" TargetMode="External"/><Relationship Id="rId305" Type="http://schemas.openxmlformats.org/officeDocument/2006/relationships/hyperlink" Target="https://www.youtube.com/@USinMadaComoros" TargetMode="External"/><Relationship Id="rId547" Type="http://schemas.openxmlformats.org/officeDocument/2006/relationships/hyperlink" Target="https://www.facebook.com/AIT.Social.Media/" TargetMode="External"/><Relationship Id="rId789" Type="http://schemas.openxmlformats.org/officeDocument/2006/relationships/hyperlink" Target="https://www.facebook.com/U.S.EmbassyMoldova/" TargetMode="External"/><Relationship Id="rId304" Type="http://schemas.openxmlformats.org/officeDocument/2006/relationships/hyperlink" Target="https://x.com/USMadagascar" TargetMode="External"/><Relationship Id="rId546" Type="http://schemas.openxmlformats.org/officeDocument/2006/relationships/hyperlink" Target="https://youtube.com/user/USEmbassySeoul" TargetMode="External"/><Relationship Id="rId788" Type="http://schemas.openxmlformats.org/officeDocument/2006/relationships/hyperlink" Target="https://youtube.com/@usembmalta" TargetMode="External"/><Relationship Id="rId303" Type="http://schemas.openxmlformats.org/officeDocument/2006/relationships/hyperlink" Target="https://www.instagram.com/usembmada/" TargetMode="External"/><Relationship Id="rId545" Type="http://schemas.openxmlformats.org/officeDocument/2006/relationships/hyperlink" Target="https://x.com/USEmbassySeoul" TargetMode="External"/><Relationship Id="rId787" Type="http://schemas.openxmlformats.org/officeDocument/2006/relationships/hyperlink" Target="https://x.com/usembmalta" TargetMode="External"/><Relationship Id="rId302" Type="http://schemas.openxmlformats.org/officeDocument/2006/relationships/hyperlink" Target="https://www.facebook.com/usembassy.madagascar/" TargetMode="External"/><Relationship Id="rId544" Type="http://schemas.openxmlformats.org/officeDocument/2006/relationships/hyperlink" Target="https://www.instagram.com/usembassyseoul" TargetMode="External"/><Relationship Id="rId786" Type="http://schemas.openxmlformats.org/officeDocument/2006/relationships/hyperlink" Target="https://www.facebook.com/usembmalta/" TargetMode="External"/><Relationship Id="rId309" Type="http://schemas.openxmlformats.org/officeDocument/2006/relationships/hyperlink" Target="https://www.flickr.com/photos/usembassylilongwe" TargetMode="External"/><Relationship Id="rId308" Type="http://schemas.openxmlformats.org/officeDocument/2006/relationships/hyperlink" Target="https://www.youtube.com/@U.S.EmbassyLilongwe" TargetMode="External"/><Relationship Id="rId307" Type="http://schemas.openxmlformats.org/officeDocument/2006/relationships/hyperlink" Target="https://x.com/USEmbassyLLW" TargetMode="External"/><Relationship Id="rId549" Type="http://schemas.openxmlformats.org/officeDocument/2006/relationships/hyperlink" Target="https://www.instagram.com/ait_taipei/" TargetMode="External"/><Relationship Id="rId306" Type="http://schemas.openxmlformats.org/officeDocument/2006/relationships/hyperlink" Target="https://www.facebook.com/USEmbassyLilongwe/" TargetMode="External"/><Relationship Id="rId548" Type="http://schemas.openxmlformats.org/officeDocument/2006/relationships/hyperlink" Target="https://www.flickr.com/photos/ait_taipei/" TargetMode="External"/><Relationship Id="rId781" Type="http://schemas.openxmlformats.org/officeDocument/2006/relationships/hyperlink" Target="https://www.instagram.com/us.embassy.luxembourg" TargetMode="External"/><Relationship Id="rId1370" Type="http://schemas.openxmlformats.org/officeDocument/2006/relationships/hyperlink" Target="https://www.facebook.com/USEmbassyNassau" TargetMode="External"/><Relationship Id="rId780" Type="http://schemas.openxmlformats.org/officeDocument/2006/relationships/hyperlink" Target="https://facebook.com/usdos.Luxembourg" TargetMode="External"/><Relationship Id="rId1371" Type="http://schemas.openxmlformats.org/officeDocument/2006/relationships/hyperlink" Target="https://www.instagram.com/usembassynassau" TargetMode="External"/><Relationship Id="rId1130" Type="http://schemas.openxmlformats.org/officeDocument/2006/relationships/hyperlink" Target="https://x.com/USEmbassyNepal" TargetMode="External"/><Relationship Id="rId1372" Type="http://schemas.openxmlformats.org/officeDocument/2006/relationships/hyperlink" Target="https://x.com/USEmbassyNassau" TargetMode="External"/><Relationship Id="rId1131" Type="http://schemas.openxmlformats.org/officeDocument/2006/relationships/hyperlink" Target="https://www.youtube.com/user/usembassykathmandu" TargetMode="External"/><Relationship Id="rId1373" Type="http://schemas.openxmlformats.org/officeDocument/2006/relationships/hyperlink" Target="https://youtube.com/user/USEmbassyBahamas" TargetMode="External"/><Relationship Id="rId301" Type="http://schemas.openxmlformats.org/officeDocument/2006/relationships/hyperlink" Target="https://www.flickr.com/photos/usembassymonrovia/" TargetMode="External"/><Relationship Id="rId543" Type="http://schemas.openxmlformats.org/officeDocument/2006/relationships/hyperlink" Target="https://www.flickr.com/photos/usembassyseoul" TargetMode="External"/><Relationship Id="rId785" Type="http://schemas.openxmlformats.org/officeDocument/2006/relationships/hyperlink" Target="https://x.com/USAmbMalta" TargetMode="External"/><Relationship Id="rId1132" Type="http://schemas.openxmlformats.org/officeDocument/2006/relationships/hyperlink" Target="https://www.facebook.com/karachi.usconsulate/" TargetMode="External"/><Relationship Id="rId1374" Type="http://schemas.openxmlformats.org/officeDocument/2006/relationships/hyperlink" Target="https://www.facebook.com/ttusa/" TargetMode="External"/><Relationship Id="rId300" Type="http://schemas.openxmlformats.org/officeDocument/2006/relationships/hyperlink" Target="https://x.com/embassymonrovia" TargetMode="External"/><Relationship Id="rId542" Type="http://schemas.openxmlformats.org/officeDocument/2006/relationships/hyperlink" Target="https://www.facebook.com/usembassyseoul/" TargetMode="External"/><Relationship Id="rId784" Type="http://schemas.openxmlformats.org/officeDocument/2006/relationships/hyperlink" Target="https://www.youtube.com/@usembassyluxembourg505/" TargetMode="External"/><Relationship Id="rId1133" Type="http://schemas.openxmlformats.org/officeDocument/2006/relationships/hyperlink" Target="https://www.instagram.com/usconsulate_khi" TargetMode="External"/><Relationship Id="rId1375" Type="http://schemas.openxmlformats.org/officeDocument/2006/relationships/hyperlink" Target="https://www.instagram.com/usintt" TargetMode="External"/><Relationship Id="rId541" Type="http://schemas.openxmlformats.org/officeDocument/2006/relationships/hyperlink" Target="https://x.com/USAmbROK" TargetMode="External"/><Relationship Id="rId783" Type="http://schemas.openxmlformats.org/officeDocument/2006/relationships/hyperlink" Target="https://x.com/USEmbLuxembourg" TargetMode="External"/><Relationship Id="rId1134" Type="http://schemas.openxmlformats.org/officeDocument/2006/relationships/hyperlink" Target="https://x.com/usconsulatekhi" TargetMode="External"/><Relationship Id="rId1376" Type="http://schemas.openxmlformats.org/officeDocument/2006/relationships/hyperlink" Target="https://x.com/USinTT" TargetMode="External"/><Relationship Id="rId540" Type="http://schemas.openxmlformats.org/officeDocument/2006/relationships/hyperlink" Target="https://www.flickr.com/photos/usembassyhoniara/" TargetMode="External"/><Relationship Id="rId782" Type="http://schemas.openxmlformats.org/officeDocument/2006/relationships/hyperlink" Target="https://www.linkedin.com/company/u-s-embassy-luxembourg/" TargetMode="External"/><Relationship Id="rId1135" Type="http://schemas.openxmlformats.org/officeDocument/2006/relationships/hyperlink" Target="https://www.flickr.com/photos/usconsulatekhi" TargetMode="External"/><Relationship Id="rId1377" Type="http://schemas.openxmlformats.org/officeDocument/2006/relationships/hyperlink" Target="https://youtube.com/user/USEmbassyPOS" TargetMode="External"/><Relationship Id="rId1125" Type="http://schemas.openxmlformats.org/officeDocument/2006/relationships/hyperlink" Target="https://www.instagram.com/usinmaldives/" TargetMode="External"/><Relationship Id="rId1367" Type="http://schemas.openxmlformats.org/officeDocument/2006/relationships/hyperlink" Target="https://x.com/USEmbassyParbo" TargetMode="External"/><Relationship Id="rId1126" Type="http://schemas.openxmlformats.org/officeDocument/2006/relationships/hyperlink" Target="https://x.com/USAmbNepal" TargetMode="External"/><Relationship Id="rId1368" Type="http://schemas.openxmlformats.org/officeDocument/2006/relationships/hyperlink" Target="https://www.youtube.com/channel/UCHzESEBzSH9JoYDg_H2fg5g" TargetMode="External"/><Relationship Id="rId1127" Type="http://schemas.openxmlformats.org/officeDocument/2006/relationships/hyperlink" Target="https://www.facebook.com/nepal.usembassy/" TargetMode="External"/><Relationship Id="rId1369" Type="http://schemas.openxmlformats.org/officeDocument/2006/relationships/hyperlink" Target="https://flickr.com/photos/usembassyparamaribo/" TargetMode="External"/><Relationship Id="rId1128" Type="http://schemas.openxmlformats.org/officeDocument/2006/relationships/hyperlink" Target="https://www.flickr.com/photos/usembassykathmandu" TargetMode="External"/><Relationship Id="rId1129" Type="http://schemas.openxmlformats.org/officeDocument/2006/relationships/hyperlink" Target="https://www.instagram.com/usembassynepal" TargetMode="External"/><Relationship Id="rId536" Type="http://schemas.openxmlformats.org/officeDocument/2006/relationships/hyperlink" Target="https://www.linkedin.com/company/usembassysingapore/" TargetMode="External"/><Relationship Id="rId778" Type="http://schemas.openxmlformats.org/officeDocument/2006/relationships/hyperlink" Target="https://x.com/USEmbVilnius" TargetMode="External"/><Relationship Id="rId535" Type="http://schemas.openxmlformats.org/officeDocument/2006/relationships/hyperlink" Target="https://x.com/USEmbassySG" TargetMode="External"/><Relationship Id="rId777" Type="http://schemas.openxmlformats.org/officeDocument/2006/relationships/hyperlink" Target="https://www.linkedin.com/company/us-embassy-vilnius-lithuania/" TargetMode="External"/><Relationship Id="rId534" Type="http://schemas.openxmlformats.org/officeDocument/2006/relationships/hyperlink" Target="https://www.instagram.com/usembassysingapore" TargetMode="External"/><Relationship Id="rId776" Type="http://schemas.openxmlformats.org/officeDocument/2006/relationships/hyperlink" Target="https://www.instagram.com/usembassyvilnius" TargetMode="External"/><Relationship Id="rId533" Type="http://schemas.openxmlformats.org/officeDocument/2006/relationships/hyperlink" Target="https://www.facebook.com/USEmbassySingapore/" TargetMode="External"/><Relationship Id="rId775" Type="http://schemas.openxmlformats.org/officeDocument/2006/relationships/hyperlink" Target="https://www.facebook.com/vilnius.usembassy/" TargetMode="External"/><Relationship Id="rId539" Type="http://schemas.openxmlformats.org/officeDocument/2006/relationships/hyperlink" Target="https://x.com/USEmbHoniara" TargetMode="External"/><Relationship Id="rId538" Type="http://schemas.openxmlformats.org/officeDocument/2006/relationships/hyperlink" Target="https://www.facebook.com/usembassyhoniara/" TargetMode="External"/><Relationship Id="rId537" Type="http://schemas.openxmlformats.org/officeDocument/2006/relationships/hyperlink" Target="https://youtube.com/user/singaporeusembassy" TargetMode="External"/><Relationship Id="rId779" Type="http://schemas.openxmlformats.org/officeDocument/2006/relationships/hyperlink" Target="https://youtube.com/@USEmbassyLithuania" TargetMode="External"/><Relationship Id="rId770" Type="http://schemas.openxmlformats.org/officeDocument/2006/relationships/hyperlink" Target="https://www.instagram.com/usembassyriga" TargetMode="External"/><Relationship Id="rId1360" Type="http://schemas.openxmlformats.org/officeDocument/2006/relationships/hyperlink" Target="https://x.com/USAmbPeru" TargetMode="External"/><Relationship Id="rId1361" Type="http://schemas.openxmlformats.org/officeDocument/2006/relationships/hyperlink" Target="https://www.facebook.com/usembassyperu/" TargetMode="External"/><Relationship Id="rId1120" Type="http://schemas.openxmlformats.org/officeDocument/2006/relationships/hyperlink" Target="https://x.com/USEmbassyKG" TargetMode="External"/><Relationship Id="rId1362" Type="http://schemas.openxmlformats.org/officeDocument/2006/relationships/hyperlink" Target="https://www.instagram.com/usembassyperu" TargetMode="External"/><Relationship Id="rId532" Type="http://schemas.openxmlformats.org/officeDocument/2006/relationships/hyperlink" Target="https://x.com/USAmbSG" TargetMode="External"/><Relationship Id="rId774" Type="http://schemas.openxmlformats.org/officeDocument/2006/relationships/hyperlink" Target="https://www.instagram.com/usamblt/" TargetMode="External"/><Relationship Id="rId1121" Type="http://schemas.openxmlformats.org/officeDocument/2006/relationships/hyperlink" Target="https://t.me/USEmbassyKG" TargetMode="External"/><Relationship Id="rId1363" Type="http://schemas.openxmlformats.org/officeDocument/2006/relationships/hyperlink" Target="https://x.com/USEMBASSYPERU" TargetMode="External"/><Relationship Id="rId531" Type="http://schemas.openxmlformats.org/officeDocument/2006/relationships/hyperlink" Target="https://www.threads.net/@usambsg" TargetMode="External"/><Relationship Id="rId773" Type="http://schemas.openxmlformats.org/officeDocument/2006/relationships/hyperlink" Target="https://t.me/USEmbRiga" TargetMode="External"/><Relationship Id="rId1122" Type="http://schemas.openxmlformats.org/officeDocument/2006/relationships/hyperlink" Target="https://www.youtube.com/user/USEmbassyBishkek" TargetMode="External"/><Relationship Id="rId1364" Type="http://schemas.openxmlformats.org/officeDocument/2006/relationships/hyperlink" Target="https://youtube.com/user/USEMBASSYPERU" TargetMode="External"/><Relationship Id="rId530" Type="http://schemas.openxmlformats.org/officeDocument/2006/relationships/hyperlink" Target="https://www.instagram.com/usambsg/" TargetMode="External"/><Relationship Id="rId772" Type="http://schemas.openxmlformats.org/officeDocument/2006/relationships/hyperlink" Target="https://www.linkedin.com/company/u-s-embassy-riga/" TargetMode="External"/><Relationship Id="rId1123" Type="http://schemas.openxmlformats.org/officeDocument/2006/relationships/hyperlink" Target="https://x.com/USinMaldives" TargetMode="External"/><Relationship Id="rId1365" Type="http://schemas.openxmlformats.org/officeDocument/2006/relationships/hyperlink" Target="https://www.flickr.com/photos/usembassyperu" TargetMode="External"/><Relationship Id="rId771" Type="http://schemas.openxmlformats.org/officeDocument/2006/relationships/hyperlink" Target="https://x.com/USEmbassyRiga" TargetMode="External"/><Relationship Id="rId1124" Type="http://schemas.openxmlformats.org/officeDocument/2006/relationships/hyperlink" Target="https://www.facebook.com/USinMV/" TargetMode="External"/><Relationship Id="rId1366" Type="http://schemas.openxmlformats.org/officeDocument/2006/relationships/hyperlink" Target="https://www.facebook.com/Embassy.Paramaribo/" TargetMode="External"/><Relationship Id="rId1158" Type="http://schemas.openxmlformats.org/officeDocument/2006/relationships/hyperlink" Target="https://t.me/usembassydushanbe" TargetMode="External"/><Relationship Id="rId1159" Type="http://schemas.openxmlformats.org/officeDocument/2006/relationships/hyperlink" Target="https://www.facebook.com/usembassy.turkmenistan/" TargetMode="External"/><Relationship Id="rId327" Type="http://schemas.openxmlformats.org/officeDocument/2006/relationships/hyperlink" Target="https://x.com/USEmbNamibia" TargetMode="External"/><Relationship Id="rId569" Type="http://schemas.openxmlformats.org/officeDocument/2006/relationships/hyperlink" Target="https://x.com/USAsiaPacific" TargetMode="External"/><Relationship Id="rId326" Type="http://schemas.openxmlformats.org/officeDocument/2006/relationships/hyperlink" Target="https://www.instagram.com/usembnamibia/" TargetMode="External"/><Relationship Id="rId568" Type="http://schemas.openxmlformats.org/officeDocument/2006/relationships/hyperlink" Target="https://www.linkedin.com/company/usapec2023/" TargetMode="External"/><Relationship Id="rId325" Type="http://schemas.openxmlformats.org/officeDocument/2006/relationships/hyperlink" Target="https://www.facebook.com/namibia.usembassy/" TargetMode="External"/><Relationship Id="rId567" Type="http://schemas.openxmlformats.org/officeDocument/2006/relationships/hyperlink" Target="https://www.facebook.com/usembassynukualofa" TargetMode="External"/><Relationship Id="rId324" Type="http://schemas.openxmlformats.org/officeDocument/2006/relationships/hyperlink" Target="https://www.flickr.com/photos/usembassymaputo/sets/" TargetMode="External"/><Relationship Id="rId566" Type="http://schemas.openxmlformats.org/officeDocument/2006/relationships/hyperlink" Target="https://x.com/USEmbassyDili" TargetMode="External"/><Relationship Id="rId329" Type="http://schemas.openxmlformats.org/officeDocument/2006/relationships/hyperlink" Target="https://www.flickr.com/photos/usembassynamibia" TargetMode="External"/><Relationship Id="rId1390" Type="http://schemas.openxmlformats.org/officeDocument/2006/relationships/hyperlink" Target="https://youtube.com/user/usembmvd" TargetMode="External"/><Relationship Id="rId328" Type="http://schemas.openxmlformats.org/officeDocument/2006/relationships/hyperlink" Target="https://www.youtube.com/@usembnamibia" TargetMode="External"/><Relationship Id="rId1391" Type="http://schemas.openxmlformats.org/officeDocument/2006/relationships/hyperlink" Target="https://www.flickr.com/photos/usembassy_montevideo" TargetMode="External"/><Relationship Id="rId561" Type="http://schemas.openxmlformats.org/officeDocument/2006/relationships/hyperlink" Target="https://www.flickr.com/photos/usembassybkk" TargetMode="External"/><Relationship Id="rId1150" Type="http://schemas.openxmlformats.org/officeDocument/2006/relationships/hyperlink" Target="https://x.com/USAmbSL" TargetMode="External"/><Relationship Id="rId1392" Type="http://schemas.openxmlformats.org/officeDocument/2006/relationships/hyperlink" Target="https://www.facebook.com/usembassyve" TargetMode="External"/><Relationship Id="rId560" Type="http://schemas.openxmlformats.org/officeDocument/2006/relationships/hyperlink" Target="https://www.facebook.com/usembassybkk/" TargetMode="External"/><Relationship Id="rId1151" Type="http://schemas.openxmlformats.org/officeDocument/2006/relationships/hyperlink" Target="https://www.facebook.com/Colombo.USembassy/" TargetMode="External"/><Relationship Id="rId1393" Type="http://schemas.openxmlformats.org/officeDocument/2006/relationships/hyperlink" Target="https://www.flickr.com/photos/usembassyve" TargetMode="External"/><Relationship Id="rId1152" Type="http://schemas.openxmlformats.org/officeDocument/2006/relationships/hyperlink" Target="https://www.instagram.com/usembsl" TargetMode="External"/><Relationship Id="rId1394" Type="http://schemas.openxmlformats.org/officeDocument/2006/relationships/hyperlink" Target="https://www.instagram.com/usembassyve/" TargetMode="External"/><Relationship Id="rId1153" Type="http://schemas.openxmlformats.org/officeDocument/2006/relationships/hyperlink" Target="https://x.com/USEmbSL" TargetMode="External"/><Relationship Id="rId1395" Type="http://schemas.openxmlformats.org/officeDocument/2006/relationships/hyperlink" Target="https://x.com/usembassyve" TargetMode="External"/><Relationship Id="rId323" Type="http://schemas.openxmlformats.org/officeDocument/2006/relationships/hyperlink" Target="https://www.youtube.com/@USEmbassyMozambique" TargetMode="External"/><Relationship Id="rId565" Type="http://schemas.openxmlformats.org/officeDocument/2006/relationships/hyperlink" Target="https://www.facebook.com/USEmbassyDili/" TargetMode="External"/><Relationship Id="rId1154" Type="http://schemas.openxmlformats.org/officeDocument/2006/relationships/hyperlink" Target="https://www.youtube.com/user/USEmbassySriLanka" TargetMode="External"/><Relationship Id="rId1396" Type="http://schemas.openxmlformats.org/officeDocument/2006/relationships/hyperlink" Target="https://www.youtube.com/@USEMBCRS" TargetMode="External"/><Relationship Id="rId322" Type="http://schemas.openxmlformats.org/officeDocument/2006/relationships/hyperlink" Target="https://x.com/USEmbassyMoz" TargetMode="External"/><Relationship Id="rId564" Type="http://schemas.openxmlformats.org/officeDocument/2006/relationships/hyperlink" Target="https://youtube.com/user/USEmbassyBangkok" TargetMode="External"/><Relationship Id="rId1155" Type="http://schemas.openxmlformats.org/officeDocument/2006/relationships/hyperlink" Target="https://www.facebook.com/usembassy.dushanbe/" TargetMode="External"/><Relationship Id="rId1397" Type="http://schemas.openxmlformats.org/officeDocument/2006/relationships/hyperlink" Target="https://whatsapp.com/channel/0029VaGlNLfBPzjRBkfqtA1V" TargetMode="External"/><Relationship Id="rId321" Type="http://schemas.openxmlformats.org/officeDocument/2006/relationships/hyperlink" Target="https://www.instagram.com/usembassymozambique/" TargetMode="External"/><Relationship Id="rId563" Type="http://schemas.openxmlformats.org/officeDocument/2006/relationships/hyperlink" Target="https://x.com/USEmbassyBKK" TargetMode="External"/><Relationship Id="rId1156" Type="http://schemas.openxmlformats.org/officeDocument/2006/relationships/hyperlink" Target="https://www.instagram.com/usembassydushanbe" TargetMode="External"/><Relationship Id="rId1398" Type="http://schemas.openxmlformats.org/officeDocument/2006/relationships/drawing" Target="../drawings/drawing9.xml"/><Relationship Id="rId320" Type="http://schemas.openxmlformats.org/officeDocument/2006/relationships/hyperlink" Target="https://facebook.com/U.S.EmbassyMozambique" TargetMode="External"/><Relationship Id="rId562" Type="http://schemas.openxmlformats.org/officeDocument/2006/relationships/hyperlink" Target="https://www.instagram.com/usembassybkk" TargetMode="External"/><Relationship Id="rId1157" Type="http://schemas.openxmlformats.org/officeDocument/2006/relationships/hyperlink" Target="https://x.com/USEmbDushanbe" TargetMode="External"/><Relationship Id="rId1147" Type="http://schemas.openxmlformats.org/officeDocument/2006/relationships/hyperlink" Target="https://www.flickr.com/photos/usembpak/" TargetMode="External"/><Relationship Id="rId1389" Type="http://schemas.openxmlformats.org/officeDocument/2006/relationships/hyperlink" Target="https://x.com/usembassyMVD" TargetMode="External"/><Relationship Id="rId1148" Type="http://schemas.openxmlformats.org/officeDocument/2006/relationships/hyperlink" Target="https://www.linkedin.com/company/u-s-embassy-pakistan/" TargetMode="External"/><Relationship Id="rId1149" Type="http://schemas.openxmlformats.org/officeDocument/2006/relationships/hyperlink" Target="https://x.com/usembislamabad" TargetMode="External"/><Relationship Id="rId316" Type="http://schemas.openxmlformats.org/officeDocument/2006/relationships/hyperlink" Target="https://www.facebook.com/usembassy.portlouis/" TargetMode="External"/><Relationship Id="rId558" Type="http://schemas.openxmlformats.org/officeDocument/2006/relationships/hyperlink" Target="https://x.com/USConsChiangMai" TargetMode="External"/><Relationship Id="rId315" Type="http://schemas.openxmlformats.org/officeDocument/2006/relationships/hyperlink" Target="https://www.youtube.com/@usembassynouakchott" TargetMode="External"/><Relationship Id="rId557" Type="http://schemas.openxmlformats.org/officeDocument/2006/relationships/hyperlink" Target="https://www.instagram.com/usconschiangmai" TargetMode="External"/><Relationship Id="rId799" Type="http://schemas.openxmlformats.org/officeDocument/2006/relationships/hyperlink" Target="https://x.com/usambnl" TargetMode="External"/><Relationship Id="rId314" Type="http://schemas.openxmlformats.org/officeDocument/2006/relationships/hyperlink" Target="https://x.com/usembnouakchott" TargetMode="External"/><Relationship Id="rId556" Type="http://schemas.openxmlformats.org/officeDocument/2006/relationships/hyperlink" Target="https://www.facebook.com/chiangmai.usconsulate/" TargetMode="External"/><Relationship Id="rId798" Type="http://schemas.openxmlformats.org/officeDocument/2006/relationships/hyperlink" Target="https://youtube.com/@USEmbassyPodgorica" TargetMode="External"/><Relationship Id="rId313" Type="http://schemas.openxmlformats.org/officeDocument/2006/relationships/hyperlink" Target="https://www.facebook.com/usembnouakchott/" TargetMode="External"/><Relationship Id="rId555" Type="http://schemas.openxmlformats.org/officeDocument/2006/relationships/hyperlink" Target="https://x.com/usambthailand" TargetMode="External"/><Relationship Id="rId797" Type="http://schemas.openxmlformats.org/officeDocument/2006/relationships/hyperlink" Target="https://x.com/USEmbassyMNE" TargetMode="External"/><Relationship Id="rId319" Type="http://schemas.openxmlformats.org/officeDocument/2006/relationships/hyperlink" Target="https://www.youtube.com/@usembassyportlouis" TargetMode="External"/><Relationship Id="rId318" Type="http://schemas.openxmlformats.org/officeDocument/2006/relationships/hyperlink" Target="https://x.com/USEmbassyMoris" TargetMode="External"/><Relationship Id="rId317" Type="http://schemas.openxmlformats.org/officeDocument/2006/relationships/hyperlink" Target="https://www.instagram.com/usembassymoris" TargetMode="External"/><Relationship Id="rId559" Type="http://schemas.openxmlformats.org/officeDocument/2006/relationships/hyperlink" Target="https://youtube.com/user/USConsulateChiangmai" TargetMode="External"/><Relationship Id="rId1380" Type="http://schemas.openxmlformats.org/officeDocument/2006/relationships/hyperlink" Target="https://x.com/USAmbOAS" TargetMode="External"/><Relationship Id="rId550" Type="http://schemas.openxmlformats.org/officeDocument/2006/relationships/hyperlink" Target="https://youtube.com/@AmericanInstituteTW" TargetMode="External"/><Relationship Id="rId792" Type="http://schemas.openxmlformats.org/officeDocument/2006/relationships/hyperlink" Target="https://youtube.com/user/USembassyMoldova" TargetMode="External"/><Relationship Id="rId1381" Type="http://schemas.openxmlformats.org/officeDocument/2006/relationships/hyperlink" Target="https://www.facebook.com/ylainetwork/" TargetMode="External"/><Relationship Id="rId791" Type="http://schemas.openxmlformats.org/officeDocument/2006/relationships/hyperlink" Target="https://x.com/USembMoldova" TargetMode="External"/><Relationship Id="rId1140" Type="http://schemas.openxmlformats.org/officeDocument/2006/relationships/hyperlink" Target="https://x.com/USCGLahore" TargetMode="External"/><Relationship Id="rId1382" Type="http://schemas.openxmlformats.org/officeDocument/2006/relationships/hyperlink" Target="https://www.linkedin.com/company/young-leaders-of-the-americas-initiative/" TargetMode="External"/><Relationship Id="rId790" Type="http://schemas.openxmlformats.org/officeDocument/2006/relationships/hyperlink" Target="https://www.instagram.com/usembassymoldova" TargetMode="External"/><Relationship Id="rId1141" Type="http://schemas.openxmlformats.org/officeDocument/2006/relationships/hyperlink" Target="https://www.facebook.com/peshawar.usconsulate/" TargetMode="External"/><Relationship Id="rId1383" Type="http://schemas.openxmlformats.org/officeDocument/2006/relationships/hyperlink" Target="https://x.com/YLAINetwork" TargetMode="External"/><Relationship Id="rId1142" Type="http://schemas.openxmlformats.org/officeDocument/2006/relationships/hyperlink" Target="https://www.instagram.com/uscgpeshawar/" TargetMode="External"/><Relationship Id="rId1384" Type="http://schemas.openxmlformats.org/officeDocument/2006/relationships/hyperlink" Target="https://www.instagram.com/ylainetwork/?hl=en" TargetMode="External"/><Relationship Id="rId312" Type="http://schemas.openxmlformats.org/officeDocument/2006/relationships/hyperlink" Target="https://www.youtube.com/c/USEmbassyMali21" TargetMode="External"/><Relationship Id="rId554" Type="http://schemas.openxmlformats.org/officeDocument/2006/relationships/hyperlink" Target="https://www.whatsapp.com/channel/0029VakoUfF6LwHlZl2K7j0j" TargetMode="External"/><Relationship Id="rId796" Type="http://schemas.openxmlformats.org/officeDocument/2006/relationships/hyperlink" Target="https://www.instagram.com/usa_in_mne/" TargetMode="External"/><Relationship Id="rId1143" Type="http://schemas.openxmlformats.org/officeDocument/2006/relationships/hyperlink" Target="https://x.com/USCGPeshawar" TargetMode="External"/><Relationship Id="rId1385" Type="http://schemas.openxmlformats.org/officeDocument/2006/relationships/hyperlink" Target="https://x.com/usamburuguay" TargetMode="External"/><Relationship Id="rId311" Type="http://schemas.openxmlformats.org/officeDocument/2006/relationships/hyperlink" Target="https://x.com/USEmbassyMali" TargetMode="External"/><Relationship Id="rId553" Type="http://schemas.openxmlformats.org/officeDocument/2006/relationships/hyperlink" Target="https://www.facebook.com/acsbkk/" TargetMode="External"/><Relationship Id="rId795" Type="http://schemas.openxmlformats.org/officeDocument/2006/relationships/hyperlink" Target="https://www.facebook.com/montenegro.usembassy/" TargetMode="External"/><Relationship Id="rId1144" Type="http://schemas.openxmlformats.org/officeDocument/2006/relationships/hyperlink" Target="https://www.facebook.com/pakistan.usembassy/" TargetMode="External"/><Relationship Id="rId1386" Type="http://schemas.openxmlformats.org/officeDocument/2006/relationships/hyperlink" Target="https://www.instagram.com/usamburuguay" TargetMode="External"/><Relationship Id="rId310" Type="http://schemas.openxmlformats.org/officeDocument/2006/relationships/hyperlink" Target="https://www.facebook.com/USEmbassyMali" TargetMode="External"/><Relationship Id="rId552" Type="http://schemas.openxmlformats.org/officeDocument/2006/relationships/hyperlink" Target="https://www.instagram.com/ait_kaohsiung/" TargetMode="External"/><Relationship Id="rId794" Type="http://schemas.openxmlformats.org/officeDocument/2006/relationships/hyperlink" Target="https://x.com/USAmbMNE" TargetMode="External"/><Relationship Id="rId1145" Type="http://schemas.openxmlformats.org/officeDocument/2006/relationships/hyperlink" Target="https://www.instagram.com/usembislamabad" TargetMode="External"/><Relationship Id="rId1387" Type="http://schemas.openxmlformats.org/officeDocument/2006/relationships/hyperlink" Target="https://www.facebook.com/US.Embassy.Montevideo/" TargetMode="External"/><Relationship Id="rId551" Type="http://schemas.openxmlformats.org/officeDocument/2006/relationships/hyperlink" Target="https://www.facebook.com/ILoveAITK/" TargetMode="External"/><Relationship Id="rId793" Type="http://schemas.openxmlformats.org/officeDocument/2006/relationships/hyperlink" Target="https://www.instagram.com/us_ambassador_mne/" TargetMode="External"/><Relationship Id="rId1146" Type="http://schemas.openxmlformats.org/officeDocument/2006/relationships/hyperlink" Target="https://www.youtube.com/c/usembpak" TargetMode="External"/><Relationship Id="rId1388" Type="http://schemas.openxmlformats.org/officeDocument/2006/relationships/hyperlink" Target="https://www.instagram.com/usembassymvd" TargetMode="External"/><Relationship Id="rId297" Type="http://schemas.openxmlformats.org/officeDocument/2006/relationships/hyperlink" Target="https://www.facebook.com/usdos.Lesotho/" TargetMode="External"/><Relationship Id="rId296" Type="http://schemas.openxmlformats.org/officeDocument/2006/relationships/hyperlink" Target="https://www.flickr.com/photos/us_embassy_nairobi/" TargetMode="External"/><Relationship Id="rId295" Type="http://schemas.openxmlformats.org/officeDocument/2006/relationships/hyperlink" Target="https://www.youtube.com/@THEUSEMBASSYNAIROBI" TargetMode="External"/><Relationship Id="rId294" Type="http://schemas.openxmlformats.org/officeDocument/2006/relationships/hyperlink" Target="https://x.com/USEmbassyKenya" TargetMode="External"/><Relationship Id="rId299" Type="http://schemas.openxmlformats.org/officeDocument/2006/relationships/hyperlink" Target="https://www.facebook.com/monrovia.usembassy" TargetMode="External"/><Relationship Id="rId298" Type="http://schemas.openxmlformats.org/officeDocument/2006/relationships/hyperlink" Target="https://x.com/usembassymaseru" TargetMode="External"/><Relationship Id="rId271" Type="http://schemas.openxmlformats.org/officeDocument/2006/relationships/hyperlink" Target="https://x.com/US_AU" TargetMode="External"/><Relationship Id="rId270" Type="http://schemas.openxmlformats.org/officeDocument/2006/relationships/hyperlink" Target="https://www.facebook.com/USAU09" TargetMode="External"/><Relationship Id="rId269" Type="http://schemas.openxmlformats.org/officeDocument/2006/relationships/hyperlink" Target="https://www.flickr.com/photos/usembassyaddisababa" TargetMode="External"/><Relationship Id="rId264" Type="http://schemas.openxmlformats.org/officeDocument/2006/relationships/hyperlink" Target="https://x.com/USEmbEswatini" TargetMode="External"/><Relationship Id="rId263" Type="http://schemas.openxmlformats.org/officeDocument/2006/relationships/hyperlink" Target="https://www.facebook.com/usembassy.eswatini/" TargetMode="External"/><Relationship Id="rId262" Type="http://schemas.openxmlformats.org/officeDocument/2006/relationships/hyperlink" Target="https://www.facebook.com/usembassyasmara/" TargetMode="External"/><Relationship Id="rId261" Type="http://schemas.openxmlformats.org/officeDocument/2006/relationships/hyperlink" Target="https://x.com/USEmbassyEG" TargetMode="External"/><Relationship Id="rId268" Type="http://schemas.openxmlformats.org/officeDocument/2006/relationships/hyperlink" Target="https://youtube.com/@USEmbassyAddisAbabaEthiopia" TargetMode="External"/><Relationship Id="rId267" Type="http://schemas.openxmlformats.org/officeDocument/2006/relationships/hyperlink" Target="https://x.com/USEmbassyAddis" TargetMode="External"/><Relationship Id="rId266" Type="http://schemas.openxmlformats.org/officeDocument/2006/relationships/hyperlink" Target="https://www.instagram.com/usembassyaddisababa/" TargetMode="External"/><Relationship Id="rId265" Type="http://schemas.openxmlformats.org/officeDocument/2006/relationships/hyperlink" Target="https://www.facebook.com/us.emb.addisababa/" TargetMode="External"/><Relationship Id="rId260" Type="http://schemas.openxmlformats.org/officeDocument/2006/relationships/hyperlink" Target="https://www.instagram.com/usembassymalabo/" TargetMode="External"/><Relationship Id="rId259" Type="http://schemas.openxmlformats.org/officeDocument/2006/relationships/hyperlink" Target="https://facebook.com/malabo.usembassy" TargetMode="External"/><Relationship Id="rId258" Type="http://schemas.openxmlformats.org/officeDocument/2006/relationships/hyperlink" Target="https://www.youtube.com/@USEmbassyDjibouti" TargetMode="External"/><Relationship Id="rId253" Type="http://schemas.openxmlformats.org/officeDocument/2006/relationships/hyperlink" Target="https://www.youtube.com/@u.s.embassykinshasa619" TargetMode="External"/><Relationship Id="rId495" Type="http://schemas.openxmlformats.org/officeDocument/2006/relationships/hyperlink" Target="https://x.com/USVisaTokyo" TargetMode="External"/><Relationship Id="rId252" Type="http://schemas.openxmlformats.org/officeDocument/2006/relationships/hyperlink" Target="https://x.com/USEmbKinshasa" TargetMode="External"/><Relationship Id="rId494" Type="http://schemas.openxmlformats.org/officeDocument/2006/relationships/hyperlink" Target="https://www.youtube.com/user/usembassytokyo" TargetMode="External"/><Relationship Id="rId251" Type="http://schemas.openxmlformats.org/officeDocument/2006/relationships/hyperlink" Target="https://x.com/USAmbDRC" TargetMode="External"/><Relationship Id="rId493" Type="http://schemas.openxmlformats.org/officeDocument/2006/relationships/hyperlink" Target="https://x.com/usembassytokyo" TargetMode="External"/><Relationship Id="rId250" Type="http://schemas.openxmlformats.org/officeDocument/2006/relationships/hyperlink" Target="https://facebook.com/ambassadeusakinshasa" TargetMode="External"/><Relationship Id="rId492" Type="http://schemas.openxmlformats.org/officeDocument/2006/relationships/hyperlink" Target="https://www.instagram.com/usembassytokyo/" TargetMode="External"/><Relationship Id="rId257" Type="http://schemas.openxmlformats.org/officeDocument/2006/relationships/hyperlink" Target="https://x.com/US_Emb_Djibouti" TargetMode="External"/><Relationship Id="rId499" Type="http://schemas.openxmlformats.org/officeDocument/2006/relationships/hyperlink" Target="https://www.flickr.com/photos/usembassykl/" TargetMode="External"/><Relationship Id="rId256" Type="http://schemas.openxmlformats.org/officeDocument/2006/relationships/hyperlink" Target="https://www.facebook.com/usembassy.djibouti/" TargetMode="External"/><Relationship Id="rId498" Type="http://schemas.openxmlformats.org/officeDocument/2006/relationships/hyperlink" Target="https://www.facebook.com/usembassykl/" TargetMode="External"/><Relationship Id="rId255" Type="http://schemas.openxmlformats.org/officeDocument/2006/relationships/hyperlink" Target="https://whatsapp.com/channel/0029Vao93mQ1nozAEcsApT0Q" TargetMode="External"/><Relationship Id="rId497" Type="http://schemas.openxmlformats.org/officeDocument/2006/relationships/hyperlink" Target="https://youtube.com/@USEmbassyVientiane" TargetMode="External"/><Relationship Id="rId254" Type="http://schemas.openxmlformats.org/officeDocument/2006/relationships/hyperlink" Target="https://www.flickr.com/photos/124109311@N07" TargetMode="External"/><Relationship Id="rId496" Type="http://schemas.openxmlformats.org/officeDocument/2006/relationships/hyperlink" Target="https://www.facebook.com/usembassyvte/" TargetMode="External"/><Relationship Id="rId293" Type="http://schemas.openxmlformats.org/officeDocument/2006/relationships/hyperlink" Target="https://www.instagram.com/usembassynairobi" TargetMode="External"/><Relationship Id="rId292" Type="http://schemas.openxmlformats.org/officeDocument/2006/relationships/hyperlink" Target="https://www.facebook.com/U.S.EmbassyNairobi/" TargetMode="External"/><Relationship Id="rId291" Type="http://schemas.openxmlformats.org/officeDocument/2006/relationships/hyperlink" Target="https://x.com/USAmbKenya" TargetMode="External"/><Relationship Id="rId290" Type="http://schemas.openxmlformats.org/officeDocument/2006/relationships/hyperlink" Target="https://www.facebook.com/usvpp.guineabissau/" TargetMode="External"/><Relationship Id="rId286" Type="http://schemas.openxmlformats.org/officeDocument/2006/relationships/hyperlink" Target="https://www.facebook.com/usembassyconakry/" TargetMode="External"/><Relationship Id="rId285" Type="http://schemas.openxmlformats.org/officeDocument/2006/relationships/hyperlink" Target="https://www.flickr.com/photos/usembghana" TargetMode="External"/><Relationship Id="rId284" Type="http://schemas.openxmlformats.org/officeDocument/2006/relationships/hyperlink" Target="https://www.youtube.com/@usembassyghana" TargetMode="External"/><Relationship Id="rId283" Type="http://schemas.openxmlformats.org/officeDocument/2006/relationships/hyperlink" Target="https://x.com/USEmbassyGhana" TargetMode="External"/><Relationship Id="rId289" Type="http://schemas.openxmlformats.org/officeDocument/2006/relationships/hyperlink" Target="https://www.youtube.com/user/usembassyconakry" TargetMode="External"/><Relationship Id="rId288" Type="http://schemas.openxmlformats.org/officeDocument/2006/relationships/hyperlink" Target="https://x.com/EmbassyConakry" TargetMode="External"/><Relationship Id="rId287" Type="http://schemas.openxmlformats.org/officeDocument/2006/relationships/hyperlink" Target="https://www.instagram.com/usembassyconakry/" TargetMode="External"/><Relationship Id="rId282" Type="http://schemas.openxmlformats.org/officeDocument/2006/relationships/hyperlink" Target="https://www.instagram.com/usembassyghana" TargetMode="External"/><Relationship Id="rId281" Type="http://schemas.openxmlformats.org/officeDocument/2006/relationships/hyperlink" Target="https://www.facebook.com/USEmbassyGhana/" TargetMode="External"/><Relationship Id="rId280" Type="http://schemas.openxmlformats.org/officeDocument/2006/relationships/hyperlink" Target="https://x.com/USEmbassyBanjul" TargetMode="External"/><Relationship Id="rId275" Type="http://schemas.openxmlformats.org/officeDocument/2006/relationships/hyperlink" Target="https://www.youtube.com/@ARSParis" TargetMode="External"/><Relationship Id="rId274" Type="http://schemas.openxmlformats.org/officeDocument/2006/relationships/hyperlink" Target="https://x.com/StateDeptARS" TargetMode="External"/><Relationship Id="rId273" Type="http://schemas.openxmlformats.org/officeDocument/2006/relationships/hyperlink" Target="https://www.facebook.com/usdos.nouveauxhorizons/" TargetMode="External"/><Relationship Id="rId272" Type="http://schemas.openxmlformats.org/officeDocument/2006/relationships/hyperlink" Target="https://www.flickr.com/photos/146009313@N06/" TargetMode="External"/><Relationship Id="rId279" Type="http://schemas.openxmlformats.org/officeDocument/2006/relationships/hyperlink" Target="https://www.facebook.com/U.S.EmbassyBanjul/" TargetMode="External"/><Relationship Id="rId278" Type="http://schemas.openxmlformats.org/officeDocument/2006/relationships/hyperlink" Target="https://x.com/usembassygabon" TargetMode="External"/><Relationship Id="rId277" Type="http://schemas.openxmlformats.org/officeDocument/2006/relationships/hyperlink" Target="https://www.instagram.com/us_embassy_libreville" TargetMode="External"/><Relationship Id="rId276" Type="http://schemas.openxmlformats.org/officeDocument/2006/relationships/hyperlink" Target="https://facebook.com/USEmbassyLibreville" TargetMode="External"/><Relationship Id="rId907" Type="http://schemas.openxmlformats.org/officeDocument/2006/relationships/hyperlink" Target="https://youtube.com/@USEmbassyKyiv" TargetMode="External"/><Relationship Id="rId906" Type="http://schemas.openxmlformats.org/officeDocument/2006/relationships/hyperlink" Target="https://x.com/USEmbassyKyiv" TargetMode="External"/><Relationship Id="rId905" Type="http://schemas.openxmlformats.org/officeDocument/2006/relationships/hyperlink" Target="https://www.instagram.com/usembkyiv" TargetMode="External"/><Relationship Id="rId904" Type="http://schemas.openxmlformats.org/officeDocument/2006/relationships/hyperlink" Target="https://www.facebook.com/usdos.ukraine/" TargetMode="External"/><Relationship Id="rId909" Type="http://schemas.openxmlformats.org/officeDocument/2006/relationships/hyperlink" Target="https://www.instagram.com/us_amb_uk/" TargetMode="External"/><Relationship Id="rId908" Type="http://schemas.openxmlformats.org/officeDocument/2006/relationships/hyperlink" Target="https://x.com/usambuk" TargetMode="External"/><Relationship Id="rId903" Type="http://schemas.openxmlformats.org/officeDocument/2006/relationships/hyperlink" Target="https://x.com/USAmbKyiv" TargetMode="External"/><Relationship Id="rId902" Type="http://schemas.openxmlformats.org/officeDocument/2006/relationships/hyperlink" Target="https://www.instagram.com/usambkyiv/" TargetMode="External"/><Relationship Id="rId901" Type="http://schemas.openxmlformats.org/officeDocument/2006/relationships/hyperlink" Target="https://www.youtube.com/USEmbassyTurkey" TargetMode="External"/><Relationship Id="rId900" Type="http://schemas.openxmlformats.org/officeDocument/2006/relationships/hyperlink" Target="https://x.com/USEmbassyTurkey" TargetMode="External"/><Relationship Id="rId929" Type="http://schemas.openxmlformats.org/officeDocument/2006/relationships/hyperlink" Target="https://www.linkedin.com/company/usunvie" TargetMode="External"/><Relationship Id="rId928" Type="http://schemas.openxmlformats.org/officeDocument/2006/relationships/hyperlink" Target="https://www.instagram.com/usunvie" TargetMode="External"/><Relationship Id="rId927" Type="http://schemas.openxmlformats.org/officeDocument/2006/relationships/hyperlink" Target="https://facebook.com/usunvie" TargetMode="External"/><Relationship Id="rId926" Type="http://schemas.openxmlformats.org/officeDocument/2006/relationships/hyperlink" Target="https://youtube.com/user/usembassyvatican" TargetMode="External"/><Relationship Id="rId921" Type="http://schemas.openxmlformats.org/officeDocument/2006/relationships/hyperlink" Target="https://x.com/StateSEHI" TargetMode="External"/><Relationship Id="rId920" Type="http://schemas.openxmlformats.org/officeDocument/2006/relationships/hyperlink" Target="https://x.com/StateEUR" TargetMode="External"/><Relationship Id="rId925" Type="http://schemas.openxmlformats.org/officeDocument/2006/relationships/hyperlink" Target="https://x.com/USinHolySee" TargetMode="External"/><Relationship Id="rId924" Type="http://schemas.openxmlformats.org/officeDocument/2006/relationships/hyperlink" Target="https://www.instagram.com/usinholysee/" TargetMode="External"/><Relationship Id="rId923" Type="http://schemas.openxmlformats.org/officeDocument/2006/relationships/hyperlink" Target="https://www.facebook.com/holysee.usembassy/" TargetMode="External"/><Relationship Id="rId922" Type="http://schemas.openxmlformats.org/officeDocument/2006/relationships/hyperlink" Target="https://x.com/USEnvoyNI" TargetMode="External"/><Relationship Id="rId918" Type="http://schemas.openxmlformats.org/officeDocument/2006/relationships/hyperlink" Target="https://youtube.com/user/USEmbassyLondon" TargetMode="External"/><Relationship Id="rId917" Type="http://schemas.openxmlformats.org/officeDocument/2006/relationships/hyperlink" Target="https://x.com/USAinUKpress" TargetMode="External"/><Relationship Id="rId916" Type="http://schemas.openxmlformats.org/officeDocument/2006/relationships/hyperlink" Target="https://x.com/USAinUK" TargetMode="External"/><Relationship Id="rId915" Type="http://schemas.openxmlformats.org/officeDocument/2006/relationships/hyperlink" Target="https://www.linkedin.com/company/us-embassy-london/" TargetMode="External"/><Relationship Id="rId919" Type="http://schemas.openxmlformats.org/officeDocument/2006/relationships/hyperlink" Target="https://x.com/USAinUKConsular" TargetMode="External"/><Relationship Id="rId910" Type="http://schemas.openxmlformats.org/officeDocument/2006/relationships/hyperlink" Target="https://www.facebook.com/US-Consulate-Belfast-189796969657" TargetMode="External"/><Relationship Id="rId914" Type="http://schemas.openxmlformats.org/officeDocument/2006/relationships/hyperlink" Target="https://www.instagram.com/usa_in_uk" TargetMode="External"/><Relationship Id="rId913" Type="http://schemas.openxmlformats.org/officeDocument/2006/relationships/hyperlink" Target="https://www.facebook.com/uk.usembassy/" TargetMode="External"/><Relationship Id="rId912" Type="http://schemas.openxmlformats.org/officeDocument/2006/relationships/hyperlink" Target="https://x.com/USAinScotland" TargetMode="External"/><Relationship Id="rId911" Type="http://schemas.openxmlformats.org/officeDocument/2006/relationships/hyperlink" Target="https://x.com/USAinNI" TargetMode="External"/><Relationship Id="rId1213" Type="http://schemas.openxmlformats.org/officeDocument/2006/relationships/hyperlink" Target="https://www.facebook.com/usconsulatehalifax/" TargetMode="External"/><Relationship Id="rId1214" Type="http://schemas.openxmlformats.org/officeDocument/2006/relationships/hyperlink" Target="https://www.facebook.com/U.S.CGMontreal/" TargetMode="External"/><Relationship Id="rId1215" Type="http://schemas.openxmlformats.org/officeDocument/2006/relationships/hyperlink" Target="https://www.instagram.com/usconsmontreal/" TargetMode="External"/><Relationship Id="rId1216" Type="http://schemas.openxmlformats.org/officeDocument/2006/relationships/hyperlink" Target="https://www.linkedin.com/company/us-consulate-general-montr%C3%A9al/" TargetMode="External"/><Relationship Id="rId1217" Type="http://schemas.openxmlformats.org/officeDocument/2006/relationships/hyperlink" Target="https://x.com/usconsmontreal" TargetMode="External"/><Relationship Id="rId1218" Type="http://schemas.openxmlformats.org/officeDocument/2006/relationships/hyperlink" Target="https://www.youtube.com/@u.s.consulategeneralmontre4502" TargetMode="External"/><Relationship Id="rId1219" Type="http://schemas.openxmlformats.org/officeDocument/2006/relationships/hyperlink" Target="https://www.facebook.com/USConsulateToronto/" TargetMode="External"/><Relationship Id="rId629" Type="http://schemas.openxmlformats.org/officeDocument/2006/relationships/hyperlink" Target="https://www.facebook.com/usembassy.bih/" TargetMode="External"/><Relationship Id="rId624" Type="http://schemas.openxmlformats.org/officeDocument/2006/relationships/hyperlink" Target="https://youtube.com/user/TheUSEU" TargetMode="External"/><Relationship Id="rId866" Type="http://schemas.openxmlformats.org/officeDocument/2006/relationships/hyperlink" Target="https://www.instagram.com/usembassyslo" TargetMode="External"/><Relationship Id="rId623" Type="http://schemas.openxmlformats.org/officeDocument/2006/relationships/hyperlink" Target="https://www.linkedin.com/company/us-mission-to-the-european-union/" TargetMode="External"/><Relationship Id="rId865" Type="http://schemas.openxmlformats.org/officeDocument/2006/relationships/hyperlink" Target="https://www.facebook.com/slovenia.usembassy" TargetMode="External"/><Relationship Id="rId622" Type="http://schemas.openxmlformats.org/officeDocument/2006/relationships/hyperlink" Target="https://x.com/US2EU" TargetMode="External"/><Relationship Id="rId864" Type="http://schemas.openxmlformats.org/officeDocument/2006/relationships/hyperlink" Target="https://www.instagram.com/usambslovenia/" TargetMode="External"/><Relationship Id="rId621" Type="http://schemas.openxmlformats.org/officeDocument/2006/relationships/hyperlink" Target="https://www.instagram.com/useu" TargetMode="External"/><Relationship Id="rId863" Type="http://schemas.openxmlformats.org/officeDocument/2006/relationships/hyperlink" Target="https://x.com/USAmbSlovenia" TargetMode="External"/><Relationship Id="rId628" Type="http://schemas.openxmlformats.org/officeDocument/2006/relationships/hyperlink" Target="https://www.linkedin.com/company/u-s-consulate-general-hamilton-bermuda/" TargetMode="External"/><Relationship Id="rId627" Type="http://schemas.openxmlformats.org/officeDocument/2006/relationships/hyperlink" Target="https://x.com/USConsHamilton" TargetMode="External"/><Relationship Id="rId869" Type="http://schemas.openxmlformats.org/officeDocument/2006/relationships/hyperlink" Target="https://www.facebook.com/USConsulateBCN/" TargetMode="External"/><Relationship Id="rId626" Type="http://schemas.openxmlformats.org/officeDocument/2006/relationships/hyperlink" Target="https://www.instagram.com/usconsulatehamilton/" TargetMode="External"/><Relationship Id="rId868" Type="http://schemas.openxmlformats.org/officeDocument/2006/relationships/hyperlink" Target="https://youtube.com/@USEmbassyLjubljana" TargetMode="External"/><Relationship Id="rId625" Type="http://schemas.openxmlformats.org/officeDocument/2006/relationships/hyperlink" Target="https://facebook.com/USConsulateHamilton" TargetMode="External"/><Relationship Id="rId867" Type="http://schemas.openxmlformats.org/officeDocument/2006/relationships/hyperlink" Target="https://x.com/USEmbassySLO" TargetMode="External"/><Relationship Id="rId620" Type="http://schemas.openxmlformats.org/officeDocument/2006/relationships/hyperlink" Target="https://www.facebook.com/useubrussels/" TargetMode="External"/><Relationship Id="rId862" Type="http://schemas.openxmlformats.org/officeDocument/2006/relationships/hyperlink" Target="https://www.flickr.com/photos/usembassyslovakia/" TargetMode="External"/><Relationship Id="rId861" Type="http://schemas.openxmlformats.org/officeDocument/2006/relationships/hyperlink" Target="https://youtube.com/@USEMBBratislava" TargetMode="External"/><Relationship Id="rId1210" Type="http://schemas.openxmlformats.org/officeDocument/2006/relationships/hyperlink" Target="https://x.com/usconscalgary" TargetMode="External"/><Relationship Id="rId860" Type="http://schemas.openxmlformats.org/officeDocument/2006/relationships/hyperlink" Target="https://x.com/USEmbassySK" TargetMode="External"/><Relationship Id="rId1211" Type="http://schemas.openxmlformats.org/officeDocument/2006/relationships/hyperlink" Target="https://www.instagram.com/usconscalgary/" TargetMode="External"/><Relationship Id="rId1212" Type="http://schemas.openxmlformats.org/officeDocument/2006/relationships/hyperlink" Target="https://x.com/usconshalifax" TargetMode="External"/><Relationship Id="rId1202" Type="http://schemas.openxmlformats.org/officeDocument/2006/relationships/hyperlink" Target="https://www.facebook.com/EmbaixadadosEUA.BR" TargetMode="External"/><Relationship Id="rId1203" Type="http://schemas.openxmlformats.org/officeDocument/2006/relationships/hyperlink" Target="https://www.flickr.com/photos/embaixadaeua-brasil/" TargetMode="External"/><Relationship Id="rId1204" Type="http://schemas.openxmlformats.org/officeDocument/2006/relationships/hyperlink" Target="https://www.instagram.com/embaixadaeua" TargetMode="External"/><Relationship Id="rId1205" Type="http://schemas.openxmlformats.org/officeDocument/2006/relationships/hyperlink" Target="https://x.com/EmbaixadaEUA" TargetMode="External"/><Relationship Id="rId1206" Type="http://schemas.openxmlformats.org/officeDocument/2006/relationships/hyperlink" Target="https://youtube.com/user/embaixadaeua" TargetMode="External"/><Relationship Id="rId1207" Type="http://schemas.openxmlformats.org/officeDocument/2006/relationships/hyperlink" Target="https://www.linkedin.com/company/embaixada-eua/" TargetMode="External"/><Relationship Id="rId1208" Type="http://schemas.openxmlformats.org/officeDocument/2006/relationships/hyperlink" Target="https://x.com/usambcanada" TargetMode="External"/><Relationship Id="rId1209" Type="http://schemas.openxmlformats.org/officeDocument/2006/relationships/hyperlink" Target="https://www.facebook.com/USConsulateCalgary/" TargetMode="External"/><Relationship Id="rId619" Type="http://schemas.openxmlformats.org/officeDocument/2006/relationships/hyperlink" Target="https://www.youtube.com/@USNATO" TargetMode="External"/><Relationship Id="rId618" Type="http://schemas.openxmlformats.org/officeDocument/2006/relationships/hyperlink" Target="https://x.com/usambnato" TargetMode="External"/><Relationship Id="rId613" Type="http://schemas.openxmlformats.org/officeDocument/2006/relationships/hyperlink" Target="https://www.youtube.com/@usembassybrussels/" TargetMode="External"/><Relationship Id="rId855" Type="http://schemas.openxmlformats.org/officeDocument/2006/relationships/hyperlink" Target="https://www.linkedin.com/showcase/u-s-embassy-belgrade-serbia/" TargetMode="External"/><Relationship Id="rId612" Type="http://schemas.openxmlformats.org/officeDocument/2006/relationships/hyperlink" Target="https://x.com/usembbrussels" TargetMode="External"/><Relationship Id="rId854" Type="http://schemas.openxmlformats.org/officeDocument/2006/relationships/hyperlink" Target="https://www.instagram.com/usembassyserbia" TargetMode="External"/><Relationship Id="rId611" Type="http://schemas.openxmlformats.org/officeDocument/2006/relationships/hyperlink" Target="https://www.instagram.com/usembassybelgium/" TargetMode="External"/><Relationship Id="rId853" Type="http://schemas.openxmlformats.org/officeDocument/2006/relationships/hyperlink" Target="https://www.facebook.com/USEmbassySerbia/" TargetMode="External"/><Relationship Id="rId610" Type="http://schemas.openxmlformats.org/officeDocument/2006/relationships/hyperlink" Target="https://www.facebook.com/usembassybelgium/" TargetMode="External"/><Relationship Id="rId852" Type="http://schemas.openxmlformats.org/officeDocument/2006/relationships/hyperlink" Target="https://x.com/usambserbia" TargetMode="External"/><Relationship Id="rId617" Type="http://schemas.openxmlformats.org/officeDocument/2006/relationships/hyperlink" Target="https://x.com/USNATO" TargetMode="External"/><Relationship Id="rId859" Type="http://schemas.openxmlformats.org/officeDocument/2006/relationships/hyperlink" Target="https://www.instagram.com/usembassyslovakia/" TargetMode="External"/><Relationship Id="rId616" Type="http://schemas.openxmlformats.org/officeDocument/2006/relationships/hyperlink" Target="https://www.instagram.com/usmissionnato" TargetMode="External"/><Relationship Id="rId858" Type="http://schemas.openxmlformats.org/officeDocument/2006/relationships/hyperlink" Target="https://www.facebook.com/USEmbassySlovakia/" TargetMode="External"/><Relationship Id="rId615" Type="http://schemas.openxmlformats.org/officeDocument/2006/relationships/hyperlink" Target="https://www.facebook.com/USNATO/" TargetMode="External"/><Relationship Id="rId857" Type="http://schemas.openxmlformats.org/officeDocument/2006/relationships/hyperlink" Target="https://youtube.com/user/usembassybelgrade" TargetMode="External"/><Relationship Id="rId614" Type="http://schemas.openxmlformats.org/officeDocument/2006/relationships/hyperlink" Target="https://www.linkedin.com/company/us-embassy-in-belgium/" TargetMode="External"/><Relationship Id="rId856" Type="http://schemas.openxmlformats.org/officeDocument/2006/relationships/hyperlink" Target="https://x.com/USEmbassySerbia" TargetMode="External"/><Relationship Id="rId851" Type="http://schemas.openxmlformats.org/officeDocument/2006/relationships/hyperlink" Target="https://youtube.com/user/usembassyru" TargetMode="External"/><Relationship Id="rId850" Type="http://schemas.openxmlformats.org/officeDocument/2006/relationships/hyperlink" Target="https://vk.com/usembru" TargetMode="External"/><Relationship Id="rId1200" Type="http://schemas.openxmlformats.org/officeDocument/2006/relationships/hyperlink" Target="https://www.facebook.com/ConsuladoEUASP/" TargetMode="External"/><Relationship Id="rId1201" Type="http://schemas.openxmlformats.org/officeDocument/2006/relationships/hyperlink" Target="https://www.instagram.com/consuladoeuasp/" TargetMode="External"/><Relationship Id="rId1235" Type="http://schemas.openxmlformats.org/officeDocument/2006/relationships/hyperlink" Target="https://x.com/USAmbCL" TargetMode="External"/><Relationship Id="rId1236" Type="http://schemas.openxmlformats.org/officeDocument/2006/relationships/hyperlink" Target="https://www.facebook.com/EmbajadaEEUUCl/" TargetMode="External"/><Relationship Id="rId1237" Type="http://schemas.openxmlformats.org/officeDocument/2006/relationships/hyperlink" Target="https://www.flickr.com/photos/embajadaeeuu-chile/" TargetMode="External"/><Relationship Id="rId1238" Type="http://schemas.openxmlformats.org/officeDocument/2006/relationships/hyperlink" Target="https://www.instagram.com/embajadaeeuucl" TargetMode="External"/><Relationship Id="rId1239" Type="http://schemas.openxmlformats.org/officeDocument/2006/relationships/hyperlink" Target="https://www.linkedin.com/showcase/u-s-embassy-santiago-chile/" TargetMode="External"/><Relationship Id="rId409" Type="http://schemas.openxmlformats.org/officeDocument/2006/relationships/hyperlink" Target="https://www.facebook.com/usembassy.rangoon/" TargetMode="External"/><Relationship Id="rId404" Type="http://schemas.openxmlformats.org/officeDocument/2006/relationships/hyperlink" Target="https://youtube.com/user/USEmbassyCanberra" TargetMode="External"/><Relationship Id="rId646" Type="http://schemas.openxmlformats.org/officeDocument/2006/relationships/hyperlink" Target="https://www.instagram.com/usembassycyprus/" TargetMode="External"/><Relationship Id="rId888" Type="http://schemas.openxmlformats.org/officeDocument/2006/relationships/hyperlink" Target="https://www.instagram.com/usembassybern" TargetMode="External"/><Relationship Id="rId403" Type="http://schemas.openxmlformats.org/officeDocument/2006/relationships/hyperlink" Target="https://x.com/USEmbAustralia" TargetMode="External"/><Relationship Id="rId645" Type="http://schemas.openxmlformats.org/officeDocument/2006/relationships/hyperlink" Target="https://www.facebook.com/USEmbassyCyprus/" TargetMode="External"/><Relationship Id="rId887" Type="http://schemas.openxmlformats.org/officeDocument/2006/relationships/hyperlink" Target="https://www.facebook.com/USBotschaftBern/" TargetMode="External"/><Relationship Id="rId402" Type="http://schemas.openxmlformats.org/officeDocument/2006/relationships/hyperlink" Target="https://www.linkedin.com/company/us-embassy-australia/" TargetMode="External"/><Relationship Id="rId644" Type="http://schemas.openxmlformats.org/officeDocument/2006/relationships/hyperlink" Target="https://x.com/USAmbcy" TargetMode="External"/><Relationship Id="rId886" Type="http://schemas.openxmlformats.org/officeDocument/2006/relationships/hyperlink" Target="https://www.instagram.com/usambbern/" TargetMode="External"/><Relationship Id="rId401" Type="http://schemas.openxmlformats.org/officeDocument/2006/relationships/hyperlink" Target="https://www.instagram.com/usembassyaustralia/" TargetMode="External"/><Relationship Id="rId643" Type="http://schemas.openxmlformats.org/officeDocument/2006/relationships/hyperlink" Target="https://www.youtube.com/user/usembassyzagreb" TargetMode="External"/><Relationship Id="rId885" Type="http://schemas.openxmlformats.org/officeDocument/2006/relationships/hyperlink" Target="https://www.flickr.com/photos/usembsweden/" TargetMode="External"/><Relationship Id="rId408" Type="http://schemas.openxmlformats.org/officeDocument/2006/relationships/hyperlink" Target="https://youtube.com/@usembassybsb" TargetMode="External"/><Relationship Id="rId407" Type="http://schemas.openxmlformats.org/officeDocument/2006/relationships/hyperlink" Target="https://x.com/USEmbassyBSB" TargetMode="External"/><Relationship Id="rId649" Type="http://schemas.openxmlformats.org/officeDocument/2006/relationships/hyperlink" Target="https://www.facebook.com/USEmbassyPrague/" TargetMode="External"/><Relationship Id="rId406" Type="http://schemas.openxmlformats.org/officeDocument/2006/relationships/hyperlink" Target="https://www.instagram.com/usembassybsb" TargetMode="External"/><Relationship Id="rId648" Type="http://schemas.openxmlformats.org/officeDocument/2006/relationships/hyperlink" Target="https://youtube.com/user/nicosiairc" TargetMode="External"/><Relationship Id="rId405" Type="http://schemas.openxmlformats.org/officeDocument/2006/relationships/hyperlink" Target="https://www.facebook.com/usembassybsb/" TargetMode="External"/><Relationship Id="rId647" Type="http://schemas.openxmlformats.org/officeDocument/2006/relationships/hyperlink" Target="https://x.com/USEmbassyCyprus" TargetMode="External"/><Relationship Id="rId889" Type="http://schemas.openxmlformats.org/officeDocument/2006/relationships/hyperlink" Target="https://x.com/USEmbassyBern" TargetMode="External"/><Relationship Id="rId880" Type="http://schemas.openxmlformats.org/officeDocument/2006/relationships/hyperlink" Target="https://x.com/USAmbSweden" TargetMode="External"/><Relationship Id="rId1230" Type="http://schemas.openxmlformats.org/officeDocument/2006/relationships/hyperlink" Target="https://www.flickr.com/photos/us_mission_canada/" TargetMode="External"/><Relationship Id="rId400" Type="http://schemas.openxmlformats.org/officeDocument/2006/relationships/hyperlink" Target="https://www.flickr.com/photos/usembassyaustralia/" TargetMode="External"/><Relationship Id="rId642" Type="http://schemas.openxmlformats.org/officeDocument/2006/relationships/hyperlink" Target="https://x.com/USEmbZagreb" TargetMode="External"/><Relationship Id="rId884" Type="http://schemas.openxmlformats.org/officeDocument/2006/relationships/hyperlink" Target="https://www.youtube.com/@USEmbassySweden/" TargetMode="External"/><Relationship Id="rId1231" Type="http://schemas.openxmlformats.org/officeDocument/2006/relationships/hyperlink" Target="https://www.instagram.com/usembassyottawa" TargetMode="External"/><Relationship Id="rId641" Type="http://schemas.openxmlformats.org/officeDocument/2006/relationships/hyperlink" Target="https://www.instagram.com/usembassycroatia/" TargetMode="External"/><Relationship Id="rId883" Type="http://schemas.openxmlformats.org/officeDocument/2006/relationships/hyperlink" Target="https://x.com/usembsweden" TargetMode="External"/><Relationship Id="rId1232" Type="http://schemas.openxmlformats.org/officeDocument/2006/relationships/hyperlink" Target="https://www.linkedin.com/company/us-embassy-ottawa/" TargetMode="External"/><Relationship Id="rId640" Type="http://schemas.openxmlformats.org/officeDocument/2006/relationships/hyperlink" Target="https://www.facebook.com/usembassycroatia/" TargetMode="External"/><Relationship Id="rId882" Type="http://schemas.openxmlformats.org/officeDocument/2006/relationships/hyperlink" Target="https://www.instagram.com/usembsweden" TargetMode="External"/><Relationship Id="rId1233" Type="http://schemas.openxmlformats.org/officeDocument/2006/relationships/hyperlink" Target="https://x.com/usembassyottawa" TargetMode="External"/><Relationship Id="rId881" Type="http://schemas.openxmlformats.org/officeDocument/2006/relationships/hyperlink" Target="https://www.facebook.com/stockholm.usembassy/" TargetMode="External"/><Relationship Id="rId1234" Type="http://schemas.openxmlformats.org/officeDocument/2006/relationships/hyperlink" Target="https://youtube.com/user/USEmbassyOttawa" TargetMode="External"/><Relationship Id="rId1224" Type="http://schemas.openxmlformats.org/officeDocument/2006/relationships/hyperlink" Target="https://www.instagram.com/usconsvancouver/" TargetMode="External"/><Relationship Id="rId1225" Type="http://schemas.openxmlformats.org/officeDocument/2006/relationships/hyperlink" Target="https://www.facebook.com/USConsulateWinnipeg/" TargetMode="External"/><Relationship Id="rId1226" Type="http://schemas.openxmlformats.org/officeDocument/2006/relationships/hyperlink" Target="https://x.com/USConsWinnipeg" TargetMode="External"/><Relationship Id="rId1227" Type="http://schemas.openxmlformats.org/officeDocument/2006/relationships/hyperlink" Target="https://www.facebook.com/USConsulateQuebec/" TargetMode="External"/><Relationship Id="rId1228" Type="http://schemas.openxmlformats.org/officeDocument/2006/relationships/hyperlink" Target="https://x.com/usconsquebec" TargetMode="External"/><Relationship Id="rId1229" Type="http://schemas.openxmlformats.org/officeDocument/2006/relationships/hyperlink" Target="https://www.facebook.com/canada.usembassy/" TargetMode="External"/><Relationship Id="rId635" Type="http://schemas.openxmlformats.org/officeDocument/2006/relationships/hyperlink" Target="https://www.instagram.com/usembsofia/" TargetMode="External"/><Relationship Id="rId877" Type="http://schemas.openxmlformats.org/officeDocument/2006/relationships/hyperlink" Target="https://x.com/USembassyMadrid" TargetMode="External"/><Relationship Id="rId634" Type="http://schemas.openxmlformats.org/officeDocument/2006/relationships/hyperlink" Target="https://www.facebook.com/USEmbassySofia/" TargetMode="External"/><Relationship Id="rId876" Type="http://schemas.openxmlformats.org/officeDocument/2006/relationships/hyperlink" Target="https://www.linkedin.com/company/usembassymadrid/" TargetMode="External"/><Relationship Id="rId633" Type="http://schemas.openxmlformats.org/officeDocument/2006/relationships/hyperlink" Target="https://www.youtube.com/user/usembassysarajevo" TargetMode="External"/><Relationship Id="rId875" Type="http://schemas.openxmlformats.org/officeDocument/2006/relationships/hyperlink" Target="https://www.instagram.com/usembassymadrid" TargetMode="External"/><Relationship Id="rId632" Type="http://schemas.openxmlformats.org/officeDocument/2006/relationships/hyperlink" Target="https://x.com/USEmbassySJJ" TargetMode="External"/><Relationship Id="rId874" Type="http://schemas.openxmlformats.org/officeDocument/2006/relationships/hyperlink" Target="https://www.facebook.com/madrid.usembassy/" TargetMode="External"/><Relationship Id="rId639" Type="http://schemas.openxmlformats.org/officeDocument/2006/relationships/hyperlink" Target="https://x.com/USAmbCroatia" TargetMode="External"/><Relationship Id="rId638" Type="http://schemas.openxmlformats.org/officeDocument/2006/relationships/hyperlink" Target="https://www.linkedin.com/company/us-embassy-in-bulgaria/about/" TargetMode="External"/><Relationship Id="rId637" Type="http://schemas.openxmlformats.org/officeDocument/2006/relationships/hyperlink" Target="https://youtube.com/user/SofiaPAO" TargetMode="External"/><Relationship Id="rId879" Type="http://schemas.openxmlformats.org/officeDocument/2006/relationships/hyperlink" Target="https://www.instagram.com/usambsweden/" TargetMode="External"/><Relationship Id="rId636" Type="http://schemas.openxmlformats.org/officeDocument/2006/relationships/hyperlink" Target="https://x.com/USEmbassySofia" TargetMode="External"/><Relationship Id="rId878" Type="http://schemas.openxmlformats.org/officeDocument/2006/relationships/hyperlink" Target="https://youtube.com/@USembassyMadrid" TargetMode="External"/><Relationship Id="rId631" Type="http://schemas.openxmlformats.org/officeDocument/2006/relationships/hyperlink" Target="https://www.linkedin.com/in/usambbih/" TargetMode="External"/><Relationship Id="rId873" Type="http://schemas.openxmlformats.org/officeDocument/2006/relationships/hyperlink" Target="https://www.youtube.com/@USConsulateBCN/videos" TargetMode="External"/><Relationship Id="rId1220" Type="http://schemas.openxmlformats.org/officeDocument/2006/relationships/hyperlink" Target="https://www.instagram.com/usconstoronto" TargetMode="External"/><Relationship Id="rId630" Type="http://schemas.openxmlformats.org/officeDocument/2006/relationships/hyperlink" Target="https://www.instagram.com/usembassybih/" TargetMode="External"/><Relationship Id="rId872" Type="http://schemas.openxmlformats.org/officeDocument/2006/relationships/hyperlink" Target="https://x.com/USConsulateBCN" TargetMode="External"/><Relationship Id="rId1221" Type="http://schemas.openxmlformats.org/officeDocument/2006/relationships/hyperlink" Target="https://x.com/usconstoronto" TargetMode="External"/><Relationship Id="rId871" Type="http://schemas.openxmlformats.org/officeDocument/2006/relationships/hyperlink" Target="https://www.linkedin.com/company/usconsulatebcn/" TargetMode="External"/><Relationship Id="rId1222" Type="http://schemas.openxmlformats.org/officeDocument/2006/relationships/hyperlink" Target="https://www.facebook.com/USConsulateVancouver/" TargetMode="External"/><Relationship Id="rId870" Type="http://schemas.openxmlformats.org/officeDocument/2006/relationships/hyperlink" Target="https://www.instagram.com/usconsulatebcn/" TargetMode="External"/><Relationship Id="rId1223" Type="http://schemas.openxmlformats.org/officeDocument/2006/relationships/hyperlink" Target="https://x.com/usconsvancouver" TargetMode="External"/><Relationship Id="rId829" Type="http://schemas.openxmlformats.org/officeDocument/2006/relationships/hyperlink" Target="https://youtube.com/@USEmbassyWarsaw" TargetMode="External"/><Relationship Id="rId828" Type="http://schemas.openxmlformats.org/officeDocument/2006/relationships/hyperlink" Target="https://www.linkedin.com/company/u-s-embassy-warsaw/" TargetMode="External"/><Relationship Id="rId827" Type="http://schemas.openxmlformats.org/officeDocument/2006/relationships/hyperlink" Target="https://x.com/USEmbassyWarsaw" TargetMode="External"/><Relationship Id="rId822" Type="http://schemas.openxmlformats.org/officeDocument/2006/relationships/hyperlink" Target="https://www.instagram.com/usakrakow" TargetMode="External"/><Relationship Id="rId821" Type="http://schemas.openxmlformats.org/officeDocument/2006/relationships/hyperlink" Target="https://www.facebook.com/krakow.usconsulate/" TargetMode="External"/><Relationship Id="rId820" Type="http://schemas.openxmlformats.org/officeDocument/2006/relationships/hyperlink" Target="https://x.com/USAmbPoland" TargetMode="External"/><Relationship Id="rId826" Type="http://schemas.openxmlformats.org/officeDocument/2006/relationships/hyperlink" Target="https://www.instagram.com/usembassywarsaw/" TargetMode="External"/><Relationship Id="rId825" Type="http://schemas.openxmlformats.org/officeDocument/2006/relationships/hyperlink" Target="https://www.facebook.com/USEmbassyWarsaw/" TargetMode="External"/><Relationship Id="rId824" Type="http://schemas.openxmlformats.org/officeDocument/2006/relationships/hyperlink" Target="https://youtube.com/user/KrakowAIRC" TargetMode="External"/><Relationship Id="rId823" Type="http://schemas.openxmlformats.org/officeDocument/2006/relationships/hyperlink" Target="https://x.com/USConsKrakow" TargetMode="External"/><Relationship Id="rId819" Type="http://schemas.openxmlformats.org/officeDocument/2006/relationships/hyperlink" Target="https://www.instagram.com/usambassadortopoland/" TargetMode="External"/><Relationship Id="rId818" Type="http://schemas.openxmlformats.org/officeDocument/2006/relationships/hyperlink" Target="https://www.linkedin.com/company/us-embassy-oslo/" TargetMode="External"/><Relationship Id="rId817" Type="http://schemas.openxmlformats.org/officeDocument/2006/relationships/hyperlink" Target="https://youtube.com/@usembassynorway" TargetMode="External"/><Relationship Id="rId816" Type="http://schemas.openxmlformats.org/officeDocument/2006/relationships/hyperlink" Target="https://x.com/usembassyoslo" TargetMode="External"/><Relationship Id="rId811" Type="http://schemas.openxmlformats.org/officeDocument/2006/relationships/hyperlink" Target="https://www.instagram.com/usembassyskopje" TargetMode="External"/><Relationship Id="rId810" Type="http://schemas.openxmlformats.org/officeDocument/2006/relationships/hyperlink" Target="https://www.facebook.com/USEmbassySkopje/" TargetMode="External"/><Relationship Id="rId815" Type="http://schemas.openxmlformats.org/officeDocument/2006/relationships/hyperlink" Target="https://www.instagram.com/usembassyoslo" TargetMode="External"/><Relationship Id="rId814" Type="http://schemas.openxmlformats.org/officeDocument/2006/relationships/hyperlink" Target="https://www.facebook.com/usembassyoslo/" TargetMode="External"/><Relationship Id="rId813" Type="http://schemas.openxmlformats.org/officeDocument/2006/relationships/hyperlink" Target="https://youtube.com/@USEmbassyinNorthMacedonia" TargetMode="External"/><Relationship Id="rId812" Type="http://schemas.openxmlformats.org/officeDocument/2006/relationships/hyperlink" Target="https://x.com/USEmbassySkopje" TargetMode="External"/><Relationship Id="rId609" Type="http://schemas.openxmlformats.org/officeDocument/2006/relationships/hyperlink" Target="https://x.com/USAmbEU" TargetMode="External"/><Relationship Id="rId608" Type="http://schemas.openxmlformats.org/officeDocument/2006/relationships/hyperlink" Target="https://x.com/USAmbBelgium" TargetMode="External"/><Relationship Id="rId607" Type="http://schemas.openxmlformats.org/officeDocument/2006/relationships/hyperlink" Target="https://www.youtube.com/user/MinskPAS" TargetMode="External"/><Relationship Id="rId849" Type="http://schemas.openxmlformats.org/officeDocument/2006/relationships/hyperlink" Target="https://x.com/USEmbRu" TargetMode="External"/><Relationship Id="rId602" Type="http://schemas.openxmlformats.org/officeDocument/2006/relationships/hyperlink" Target="https://x.com/USEmbassyBaku" TargetMode="External"/><Relationship Id="rId844" Type="http://schemas.openxmlformats.org/officeDocument/2006/relationships/hyperlink" Target="https://www.facebook.com/russia.usembassy/" TargetMode="External"/><Relationship Id="rId601" Type="http://schemas.openxmlformats.org/officeDocument/2006/relationships/hyperlink" Target="https://www.instagram.com/usembaku/" TargetMode="External"/><Relationship Id="rId843" Type="http://schemas.openxmlformats.org/officeDocument/2006/relationships/hyperlink" Target="https://youtube.com/@embromania" TargetMode="External"/><Relationship Id="rId600" Type="http://schemas.openxmlformats.org/officeDocument/2006/relationships/hyperlink" Target="https://www.facebook.com/baku.usembassy/" TargetMode="External"/><Relationship Id="rId842" Type="http://schemas.openxmlformats.org/officeDocument/2006/relationships/hyperlink" Target="https://x.com/AmbasadaSUA" TargetMode="External"/><Relationship Id="rId841" Type="http://schemas.openxmlformats.org/officeDocument/2006/relationships/hyperlink" Target="https://www.linkedin.com/company/u.s.-embassy-bucharest-romania/" TargetMode="External"/><Relationship Id="rId606" Type="http://schemas.openxmlformats.org/officeDocument/2006/relationships/hyperlink" Target="https://x.com/USEmbBy" TargetMode="External"/><Relationship Id="rId848" Type="http://schemas.openxmlformats.org/officeDocument/2006/relationships/hyperlink" Target="https://t.me/USApoRusski" TargetMode="External"/><Relationship Id="rId605" Type="http://schemas.openxmlformats.org/officeDocument/2006/relationships/hyperlink" Target="https://www.instagram.com/usembby/" TargetMode="External"/><Relationship Id="rId847" Type="http://schemas.openxmlformats.org/officeDocument/2006/relationships/hyperlink" Target="https://t.me/USEmbRussia" TargetMode="External"/><Relationship Id="rId604" Type="http://schemas.openxmlformats.org/officeDocument/2006/relationships/hyperlink" Target="https://www.facebook.com/usembassy.minsk/" TargetMode="External"/><Relationship Id="rId846" Type="http://schemas.openxmlformats.org/officeDocument/2006/relationships/hyperlink" Target="https://www.instagram.com/usembru" TargetMode="External"/><Relationship Id="rId603" Type="http://schemas.openxmlformats.org/officeDocument/2006/relationships/hyperlink" Target="https://youtube.com/user/usembassybaku" TargetMode="External"/><Relationship Id="rId845" Type="http://schemas.openxmlformats.org/officeDocument/2006/relationships/hyperlink" Target="https://www.instagram.com/usaporusski/" TargetMode="External"/><Relationship Id="rId840" Type="http://schemas.openxmlformats.org/officeDocument/2006/relationships/hyperlink" Target="https://www.instagram.com/usembassybucharest" TargetMode="External"/><Relationship Id="rId839" Type="http://schemas.openxmlformats.org/officeDocument/2006/relationships/hyperlink" Target="https://www.facebook.com/bucharest.usembassy/" TargetMode="External"/><Relationship Id="rId838" Type="http://schemas.openxmlformats.org/officeDocument/2006/relationships/hyperlink" Target="https://x.com/usambro" TargetMode="External"/><Relationship Id="rId833" Type="http://schemas.openxmlformats.org/officeDocument/2006/relationships/hyperlink" Target="https://www.facebook.com/usdos.portugal/" TargetMode="External"/><Relationship Id="rId832" Type="http://schemas.openxmlformats.org/officeDocument/2006/relationships/hyperlink" Target="https://www.instagram.com/usconsulazores/" TargetMode="External"/><Relationship Id="rId831" Type="http://schemas.openxmlformats.org/officeDocument/2006/relationships/hyperlink" Target="https://x.com/USAmbPortugal" TargetMode="External"/><Relationship Id="rId830" Type="http://schemas.openxmlformats.org/officeDocument/2006/relationships/hyperlink" Target="https://www.instagram.com/USAmbPortugal/" TargetMode="External"/><Relationship Id="rId837" Type="http://schemas.openxmlformats.org/officeDocument/2006/relationships/hyperlink" Target="https://youtube.com/@usembassyportugal" TargetMode="External"/><Relationship Id="rId836" Type="http://schemas.openxmlformats.org/officeDocument/2006/relationships/hyperlink" Target="https://x.com/USEmbPortugal" TargetMode="External"/><Relationship Id="rId835" Type="http://schemas.openxmlformats.org/officeDocument/2006/relationships/hyperlink" Target="https://www.linkedin.com/company/usembassylisbon/" TargetMode="External"/><Relationship Id="rId834" Type="http://schemas.openxmlformats.org/officeDocument/2006/relationships/hyperlink" Target="https://www.instagram.com/USembPortugal/" TargetMode="External"/><Relationship Id="rId1059" Type="http://schemas.openxmlformats.org/officeDocument/2006/relationships/hyperlink" Target="https://youtube.com/user/usembassytunis" TargetMode="External"/><Relationship Id="rId228" Type="http://schemas.openxmlformats.org/officeDocument/2006/relationships/hyperlink" Target="https://www.youtube.com/user/usembassyburkina" TargetMode="External"/><Relationship Id="rId227" Type="http://schemas.openxmlformats.org/officeDocument/2006/relationships/hyperlink" Target="https://x.com/Usembassyouaga" TargetMode="External"/><Relationship Id="rId469" Type="http://schemas.openxmlformats.org/officeDocument/2006/relationships/hyperlink" Target="https://x.com/yseali" TargetMode="External"/><Relationship Id="rId226" Type="http://schemas.openxmlformats.org/officeDocument/2006/relationships/hyperlink" Target="https://www.instagram.com/usembassyouaga/" TargetMode="External"/><Relationship Id="rId468" Type="http://schemas.openxmlformats.org/officeDocument/2006/relationships/hyperlink" Target="https://youngsoutheastasianleaders.tumblr.com/" TargetMode="External"/><Relationship Id="rId225" Type="http://schemas.openxmlformats.org/officeDocument/2006/relationships/hyperlink" Target="https://www.facebook.com/U.S.EmbassyBF/" TargetMode="External"/><Relationship Id="rId467" Type="http://schemas.openxmlformats.org/officeDocument/2006/relationships/hyperlink" Target="https://www.instagram.com/yseali_official" TargetMode="External"/><Relationship Id="rId1290" Type="http://schemas.openxmlformats.org/officeDocument/2006/relationships/hyperlink" Target="https://x.com/USAmbHonduras" TargetMode="External"/><Relationship Id="rId1291" Type="http://schemas.openxmlformats.org/officeDocument/2006/relationships/hyperlink" Target="https://www.facebook.com/usembassyhn/" TargetMode="External"/><Relationship Id="rId229" Type="http://schemas.openxmlformats.org/officeDocument/2006/relationships/hyperlink" Target="https://www.facebook.com/usembassy.bujumbura/" TargetMode="External"/><Relationship Id="rId1050" Type="http://schemas.openxmlformats.org/officeDocument/2006/relationships/hyperlink" Target="https://youtube.com/user/usembassyriyadh" TargetMode="External"/><Relationship Id="rId1292" Type="http://schemas.openxmlformats.org/officeDocument/2006/relationships/hyperlink" Target="https://www.instagram.com/usembassyhn" TargetMode="External"/><Relationship Id="rId220" Type="http://schemas.openxmlformats.org/officeDocument/2006/relationships/hyperlink" Target="https://www.facebook.com/U.S.EmbassyGaborone/" TargetMode="External"/><Relationship Id="rId462" Type="http://schemas.openxmlformats.org/officeDocument/2006/relationships/hyperlink" Target="https://x.com/USMission2ASEAN" TargetMode="External"/><Relationship Id="rId1051" Type="http://schemas.openxmlformats.org/officeDocument/2006/relationships/hyperlink" Target="https://www.facebook.com/syria.usembassy/" TargetMode="External"/><Relationship Id="rId1293" Type="http://schemas.openxmlformats.org/officeDocument/2006/relationships/hyperlink" Target="https://x.com/usembassyhn" TargetMode="External"/><Relationship Id="rId461" Type="http://schemas.openxmlformats.org/officeDocument/2006/relationships/hyperlink" Target="https://www.instagram.com/usmission2asean" TargetMode="External"/><Relationship Id="rId1052" Type="http://schemas.openxmlformats.org/officeDocument/2006/relationships/hyperlink" Target="https://x.com/USEmbassySyria" TargetMode="External"/><Relationship Id="rId1294" Type="http://schemas.openxmlformats.org/officeDocument/2006/relationships/hyperlink" Target="https://www.youtube.com/@USEmbassyHN" TargetMode="External"/><Relationship Id="rId460" Type="http://schemas.openxmlformats.org/officeDocument/2006/relationships/hyperlink" Target="https://www.flickr.com/photos/usmission2asean/" TargetMode="External"/><Relationship Id="rId1053" Type="http://schemas.openxmlformats.org/officeDocument/2006/relationships/hyperlink" Target="https://youtube.com/user/USEmbassyDamascus" TargetMode="External"/><Relationship Id="rId1295" Type="http://schemas.openxmlformats.org/officeDocument/2006/relationships/hyperlink" Target="https://www.linkedin.com/company/us-embassy-tegucigalpa/" TargetMode="External"/><Relationship Id="rId1054" Type="http://schemas.openxmlformats.org/officeDocument/2006/relationships/hyperlink" Target="https://www.facebook.com/usembassytunis/" TargetMode="External"/><Relationship Id="rId1296" Type="http://schemas.openxmlformats.org/officeDocument/2006/relationships/hyperlink" Target="https://www.flickr.com/photos/usembassyteg" TargetMode="External"/><Relationship Id="rId224" Type="http://schemas.openxmlformats.org/officeDocument/2006/relationships/hyperlink" Target="https://www.flickr.com/photos/usembassybotswana/" TargetMode="External"/><Relationship Id="rId466" Type="http://schemas.openxmlformats.org/officeDocument/2006/relationships/hyperlink" Target="https://www.flickr.com/photos/yseali/" TargetMode="External"/><Relationship Id="rId1055" Type="http://schemas.openxmlformats.org/officeDocument/2006/relationships/hyperlink" Target="https://www.flickr.com/photos/usembassytunis/" TargetMode="External"/><Relationship Id="rId1297" Type="http://schemas.openxmlformats.org/officeDocument/2006/relationships/hyperlink" Target="https://x.com/AmbassadorUS_JA" TargetMode="External"/><Relationship Id="rId223" Type="http://schemas.openxmlformats.org/officeDocument/2006/relationships/hyperlink" Target="https://youtube.com/@u.s.missionbotswana8534" TargetMode="External"/><Relationship Id="rId465" Type="http://schemas.openxmlformats.org/officeDocument/2006/relationships/hyperlink" Target="https://www.facebook.com/yseali/" TargetMode="External"/><Relationship Id="rId1056" Type="http://schemas.openxmlformats.org/officeDocument/2006/relationships/hyperlink" Target="https://www.instagram.com/usembassytunis/" TargetMode="External"/><Relationship Id="rId1298" Type="http://schemas.openxmlformats.org/officeDocument/2006/relationships/hyperlink" Target="https://www.facebook.com/USEmbassyJamaica/" TargetMode="External"/><Relationship Id="rId222" Type="http://schemas.openxmlformats.org/officeDocument/2006/relationships/hyperlink" Target="https://x.com/USEmbassyBW" TargetMode="External"/><Relationship Id="rId464" Type="http://schemas.openxmlformats.org/officeDocument/2006/relationships/hyperlink" Target="https://linkedin.com/company/usmission2asean" TargetMode="External"/><Relationship Id="rId1057" Type="http://schemas.openxmlformats.org/officeDocument/2006/relationships/hyperlink" Target="https://www.linkedin.com/company/usembassytunis/" TargetMode="External"/><Relationship Id="rId1299" Type="http://schemas.openxmlformats.org/officeDocument/2006/relationships/hyperlink" Target="https://www.instagram.com/usembassyja" TargetMode="External"/><Relationship Id="rId221" Type="http://schemas.openxmlformats.org/officeDocument/2006/relationships/hyperlink" Target="https://www.instagram.com/usembassybw/" TargetMode="External"/><Relationship Id="rId463" Type="http://schemas.openxmlformats.org/officeDocument/2006/relationships/hyperlink" Target="https://youtube.com/user/USMission2ASEAN" TargetMode="External"/><Relationship Id="rId1058" Type="http://schemas.openxmlformats.org/officeDocument/2006/relationships/hyperlink" Target="https://x.com/usembassytunis" TargetMode="External"/><Relationship Id="rId1048" Type="http://schemas.openxmlformats.org/officeDocument/2006/relationships/hyperlink" Target="https://www.instagram.com/usainksa/" TargetMode="External"/><Relationship Id="rId1049" Type="http://schemas.openxmlformats.org/officeDocument/2006/relationships/hyperlink" Target="https://x.com/USAinKSA" TargetMode="External"/><Relationship Id="rId217" Type="http://schemas.openxmlformats.org/officeDocument/2006/relationships/hyperlink" Target="https://x.com/USEmbassyBenin" TargetMode="External"/><Relationship Id="rId459" Type="http://schemas.openxmlformats.org/officeDocument/2006/relationships/hyperlink" Target="https://www.facebook.com/USMission2ASEAN/" TargetMode="External"/><Relationship Id="rId216" Type="http://schemas.openxmlformats.org/officeDocument/2006/relationships/hyperlink" Target="https://www.facebook.com/usembassybenin/" TargetMode="External"/><Relationship Id="rId458" Type="http://schemas.openxmlformats.org/officeDocument/2006/relationships/hyperlink" Target="https://youtube.com/user/usembassyjakarta" TargetMode="External"/><Relationship Id="rId215" Type="http://schemas.openxmlformats.org/officeDocument/2006/relationships/hyperlink" Target="https://x.com/usembassyluanda" TargetMode="External"/><Relationship Id="rId457" Type="http://schemas.openxmlformats.org/officeDocument/2006/relationships/hyperlink" Target="https://x.com/usembassyjkt" TargetMode="External"/><Relationship Id="rId699" Type="http://schemas.openxmlformats.org/officeDocument/2006/relationships/hyperlink" Target="https://www.instagram.com/usconsduesseldorf/" TargetMode="External"/><Relationship Id="rId214" Type="http://schemas.openxmlformats.org/officeDocument/2006/relationships/hyperlink" Target="https://www.instagram.com/usembassyluanda/" TargetMode="External"/><Relationship Id="rId456" Type="http://schemas.openxmlformats.org/officeDocument/2006/relationships/hyperlink" Target="https://www.linkedin.com/showcase/usembassyjkt/" TargetMode="External"/><Relationship Id="rId698" Type="http://schemas.openxmlformats.org/officeDocument/2006/relationships/hyperlink" Target="https://www.facebook.com/USConGenNRW/" TargetMode="External"/><Relationship Id="rId219" Type="http://schemas.openxmlformats.org/officeDocument/2006/relationships/hyperlink" Target="https://youtube.com/@usembassycotonou" TargetMode="External"/><Relationship Id="rId1280" Type="http://schemas.openxmlformats.org/officeDocument/2006/relationships/hyperlink" Target="https://x.com/USAmbGuyana" TargetMode="External"/><Relationship Id="rId218" Type="http://schemas.openxmlformats.org/officeDocument/2006/relationships/hyperlink" Target="https://www.flickr.com/photos/benin_cca" TargetMode="External"/><Relationship Id="rId1281" Type="http://schemas.openxmlformats.org/officeDocument/2006/relationships/hyperlink" Target="https://www.facebook.com/USEmbassyGeorgetown/" TargetMode="External"/><Relationship Id="rId451" Type="http://schemas.openxmlformats.org/officeDocument/2006/relationships/hyperlink" Target="https://www.youtube.com/user/USConGenSurabaya" TargetMode="External"/><Relationship Id="rId693" Type="http://schemas.openxmlformats.org/officeDocument/2006/relationships/hyperlink" Target="https://www.instagram.com/usingeo" TargetMode="External"/><Relationship Id="rId1040" Type="http://schemas.openxmlformats.org/officeDocument/2006/relationships/hyperlink" Target="https://www.facebook.com/USConsulateGeneralDhahran" TargetMode="External"/><Relationship Id="rId1282" Type="http://schemas.openxmlformats.org/officeDocument/2006/relationships/hyperlink" Target="https://www.instagram.com/usembassygeorgetown" TargetMode="External"/><Relationship Id="rId450" Type="http://schemas.openxmlformats.org/officeDocument/2006/relationships/hyperlink" Target="https://x.com/USConGenSby" TargetMode="External"/><Relationship Id="rId692" Type="http://schemas.openxmlformats.org/officeDocument/2006/relationships/hyperlink" Target="https://www.facebook.com/usingeo/" TargetMode="External"/><Relationship Id="rId1041" Type="http://schemas.openxmlformats.org/officeDocument/2006/relationships/hyperlink" Target="https://www.instagram.com/usconsulatedhahran/" TargetMode="External"/><Relationship Id="rId1283" Type="http://schemas.openxmlformats.org/officeDocument/2006/relationships/hyperlink" Target="https://x.com/EmbassyGuyana" TargetMode="External"/><Relationship Id="rId691" Type="http://schemas.openxmlformats.org/officeDocument/2006/relationships/hyperlink" Target="https://x.com/USOECD" TargetMode="External"/><Relationship Id="rId1042" Type="http://schemas.openxmlformats.org/officeDocument/2006/relationships/hyperlink" Target="https://x.com/usaindhahran" TargetMode="External"/><Relationship Id="rId1284" Type="http://schemas.openxmlformats.org/officeDocument/2006/relationships/hyperlink" Target="https://youtube.com/user/USEmbassyGuyana" TargetMode="External"/><Relationship Id="rId690" Type="http://schemas.openxmlformats.org/officeDocument/2006/relationships/hyperlink" Target="https://www.facebook.com/USMissionOECD" TargetMode="External"/><Relationship Id="rId1043" Type="http://schemas.openxmlformats.org/officeDocument/2006/relationships/hyperlink" Target="https://www.facebook.com/usconsulatejeddah/" TargetMode="External"/><Relationship Id="rId1285" Type="http://schemas.openxmlformats.org/officeDocument/2006/relationships/hyperlink" Target="https://www.flickr.com/photos/usembassyguyana/" TargetMode="External"/><Relationship Id="rId213" Type="http://schemas.openxmlformats.org/officeDocument/2006/relationships/hyperlink" Target="https://www.facebook.com/USinLuanda" TargetMode="External"/><Relationship Id="rId455" Type="http://schemas.openxmlformats.org/officeDocument/2006/relationships/hyperlink" Target="https://www.instagram.com/usembassyjkt" TargetMode="External"/><Relationship Id="rId697" Type="http://schemas.openxmlformats.org/officeDocument/2006/relationships/hyperlink" Target="https://x.com/USAmbGermany" TargetMode="External"/><Relationship Id="rId1044" Type="http://schemas.openxmlformats.org/officeDocument/2006/relationships/hyperlink" Target="https://www.instagram.com/usconsulatejeddah/" TargetMode="External"/><Relationship Id="rId1286" Type="http://schemas.openxmlformats.org/officeDocument/2006/relationships/hyperlink" Target="https://www.facebook.com/ACSPortauPrince" TargetMode="External"/><Relationship Id="rId212" Type="http://schemas.openxmlformats.org/officeDocument/2006/relationships/hyperlink" Target="https://x.com/USAmbAngola" TargetMode="External"/><Relationship Id="rId454" Type="http://schemas.openxmlformats.org/officeDocument/2006/relationships/hyperlink" Target="https://www.flickr.com/photos/usembassyjakarta/" TargetMode="External"/><Relationship Id="rId696" Type="http://schemas.openxmlformats.org/officeDocument/2006/relationships/hyperlink" Target="https://www.instagram.com/usambgermany/" TargetMode="External"/><Relationship Id="rId1045" Type="http://schemas.openxmlformats.org/officeDocument/2006/relationships/hyperlink" Target="https://x.com/usconsulatejed" TargetMode="External"/><Relationship Id="rId1287" Type="http://schemas.openxmlformats.org/officeDocument/2006/relationships/hyperlink" Target="https://www.facebook.com/USEmbassyHaiti/" TargetMode="External"/><Relationship Id="rId211" Type="http://schemas.openxmlformats.org/officeDocument/2006/relationships/hyperlink" Target="https://x.com/undersect" TargetMode="External"/><Relationship Id="rId453" Type="http://schemas.openxmlformats.org/officeDocument/2006/relationships/hyperlink" Target="https://www.facebook.com/usembassyjkt/" TargetMode="External"/><Relationship Id="rId695" Type="http://schemas.openxmlformats.org/officeDocument/2006/relationships/hyperlink" Target="https://youtube.com/user/USEmbassyTbilisi" TargetMode="External"/><Relationship Id="rId1046" Type="http://schemas.openxmlformats.org/officeDocument/2006/relationships/hyperlink" Target="https://www.youtube.com/@USConsulateJed" TargetMode="External"/><Relationship Id="rId1288" Type="http://schemas.openxmlformats.org/officeDocument/2006/relationships/hyperlink" Target="https://x.com/USEmbassyHaiti" TargetMode="External"/><Relationship Id="rId210" Type="http://schemas.openxmlformats.org/officeDocument/2006/relationships/hyperlink" Target="https://x.com/StateSPEHA" TargetMode="External"/><Relationship Id="rId452" Type="http://schemas.openxmlformats.org/officeDocument/2006/relationships/hyperlink" Target="https://www.flickr.com/people/usconsulategeneralsurabaya/" TargetMode="External"/><Relationship Id="rId694" Type="http://schemas.openxmlformats.org/officeDocument/2006/relationships/hyperlink" Target="https://x.com/usingeo" TargetMode="External"/><Relationship Id="rId1047" Type="http://schemas.openxmlformats.org/officeDocument/2006/relationships/hyperlink" Target="https://www.facebook.com/USAinKSA/" TargetMode="External"/><Relationship Id="rId1289" Type="http://schemas.openxmlformats.org/officeDocument/2006/relationships/hyperlink" Target="https://www.flickr.com/photos/139942824@N06/albums" TargetMode="External"/><Relationship Id="rId491" Type="http://schemas.openxmlformats.org/officeDocument/2006/relationships/hyperlink" Target="https://www.flickr.com/photos/usembassytokyo/" TargetMode="External"/><Relationship Id="rId490" Type="http://schemas.openxmlformats.org/officeDocument/2006/relationships/hyperlink" Target="https://www.facebook.com/usembassytokyo/" TargetMode="External"/><Relationship Id="rId249" Type="http://schemas.openxmlformats.org/officeDocument/2006/relationships/hyperlink" Target="https://www.youtube.com/@u.s.embassyabidjan" TargetMode="External"/><Relationship Id="rId248" Type="http://schemas.openxmlformats.org/officeDocument/2006/relationships/hyperlink" Target="https://www.flickr.com/photos/us_embassy_abj/" TargetMode="External"/><Relationship Id="rId247" Type="http://schemas.openxmlformats.org/officeDocument/2006/relationships/hyperlink" Target="https://x.com/USEmbAbidjan" TargetMode="External"/><Relationship Id="rId489" Type="http://schemas.openxmlformats.org/officeDocument/2006/relationships/hyperlink" Target="https://x.com/USConsSapporo" TargetMode="External"/><Relationship Id="rId1070" Type="http://schemas.openxmlformats.org/officeDocument/2006/relationships/hyperlink" Target="https://x.com/USAbehFarsi" TargetMode="External"/><Relationship Id="rId1071" Type="http://schemas.openxmlformats.org/officeDocument/2006/relationships/hyperlink" Target="https://www.facebook.com/USEmbassyYemen/" TargetMode="External"/><Relationship Id="rId1072" Type="http://schemas.openxmlformats.org/officeDocument/2006/relationships/hyperlink" Target="https://x.com/USEmbassyYemen" TargetMode="External"/><Relationship Id="rId242" Type="http://schemas.openxmlformats.org/officeDocument/2006/relationships/hyperlink" Target="https://x.com/USEmbNDjamena" TargetMode="External"/><Relationship Id="rId484" Type="http://schemas.openxmlformats.org/officeDocument/2006/relationships/hyperlink" Target="https://www.facebook.com/naha.usconsulate/" TargetMode="External"/><Relationship Id="rId1073" Type="http://schemas.openxmlformats.org/officeDocument/2006/relationships/hyperlink" Target="https://youtube.com/user/USEmbassyYemen" TargetMode="External"/><Relationship Id="rId241" Type="http://schemas.openxmlformats.org/officeDocument/2006/relationships/hyperlink" Target="https://www.facebook.com/ndjamena.usembassy/" TargetMode="External"/><Relationship Id="rId483" Type="http://schemas.openxmlformats.org/officeDocument/2006/relationships/hyperlink" Target="https://x.com/USConsulateNaha" TargetMode="External"/><Relationship Id="rId1074" Type="http://schemas.openxmlformats.org/officeDocument/2006/relationships/hyperlink" Target="https://whatsapp.com/channel/0029VaKCAmaC6ZvmIO6Qc81u" TargetMode="External"/><Relationship Id="rId240" Type="http://schemas.openxmlformats.org/officeDocument/2006/relationships/hyperlink" Target="https://x.com/EmbassyBangui" TargetMode="External"/><Relationship Id="rId482" Type="http://schemas.openxmlformats.org/officeDocument/2006/relationships/hyperlink" Target="https://www.instagram.com/usconsulatenaha/" TargetMode="External"/><Relationship Id="rId1075" Type="http://schemas.openxmlformats.org/officeDocument/2006/relationships/hyperlink" Target="https://www.instagram.com/usembassyyemen/" TargetMode="External"/><Relationship Id="rId481" Type="http://schemas.openxmlformats.org/officeDocument/2006/relationships/hyperlink" Target="https://www.facebook.com/U.S.ConsulateGeneralNaha/" TargetMode="External"/><Relationship Id="rId1076" Type="http://schemas.openxmlformats.org/officeDocument/2006/relationships/hyperlink" Target="https://x.com/USAmbKabul" TargetMode="External"/><Relationship Id="rId246" Type="http://schemas.openxmlformats.org/officeDocument/2006/relationships/hyperlink" Target="https://www.instagram.com/USEmbAbidjan/" TargetMode="External"/><Relationship Id="rId488" Type="http://schemas.openxmlformats.org/officeDocument/2006/relationships/hyperlink" Target="https://www.facebook.com/USConGenSapporo/" TargetMode="External"/><Relationship Id="rId1077" Type="http://schemas.openxmlformats.org/officeDocument/2006/relationships/hyperlink" Target="https://www.facebook.com/kabulusembassy/" TargetMode="External"/><Relationship Id="rId245" Type="http://schemas.openxmlformats.org/officeDocument/2006/relationships/hyperlink" Target="https://www.facebook.com/USAbidjan/" TargetMode="External"/><Relationship Id="rId487" Type="http://schemas.openxmlformats.org/officeDocument/2006/relationships/hyperlink" Target="https://x.com/USConsOsakaKobe" TargetMode="External"/><Relationship Id="rId1078" Type="http://schemas.openxmlformats.org/officeDocument/2006/relationships/hyperlink" Target="https://x.com/USEmbassyKabul" TargetMode="External"/><Relationship Id="rId244" Type="http://schemas.openxmlformats.org/officeDocument/2006/relationships/hyperlink" Target="https://x.com/USComoros" TargetMode="External"/><Relationship Id="rId486" Type="http://schemas.openxmlformats.org/officeDocument/2006/relationships/hyperlink" Target="https://www.instagram.com/usconsosakakobe/" TargetMode="External"/><Relationship Id="rId1079" Type="http://schemas.openxmlformats.org/officeDocument/2006/relationships/hyperlink" Target="https://x.com/USAmbKabul" TargetMode="External"/><Relationship Id="rId243" Type="http://schemas.openxmlformats.org/officeDocument/2006/relationships/hyperlink" Target="https://www.facebook.com/USComoros/" TargetMode="External"/><Relationship Id="rId485" Type="http://schemas.openxmlformats.org/officeDocument/2006/relationships/hyperlink" Target="https://www.facebook.com/USConGenOsaka/" TargetMode="External"/><Relationship Id="rId480" Type="http://schemas.openxmlformats.org/officeDocument/2006/relationships/hyperlink" Target="https://x.com/USConsNagoya" TargetMode="External"/><Relationship Id="rId239" Type="http://schemas.openxmlformats.org/officeDocument/2006/relationships/hyperlink" Target="https://www.facebook.com/usembassy.bangui/" TargetMode="External"/><Relationship Id="rId238" Type="http://schemas.openxmlformats.org/officeDocument/2006/relationships/hyperlink" Target="https://www.youtube.com/@USEmbassyYaounde" TargetMode="External"/><Relationship Id="rId237" Type="http://schemas.openxmlformats.org/officeDocument/2006/relationships/hyperlink" Target="https://x.com/USEmbYaounde" TargetMode="External"/><Relationship Id="rId479" Type="http://schemas.openxmlformats.org/officeDocument/2006/relationships/hyperlink" Target="https://www.instagram.com/usconsnagoya/" TargetMode="External"/><Relationship Id="rId236" Type="http://schemas.openxmlformats.org/officeDocument/2006/relationships/hyperlink" Target="https://www.instagram.com/usembyaounde?" TargetMode="External"/><Relationship Id="rId478" Type="http://schemas.openxmlformats.org/officeDocument/2006/relationships/hyperlink" Target="https://www.facebook.com/USConsNagoya" TargetMode="External"/><Relationship Id="rId1060" Type="http://schemas.openxmlformats.org/officeDocument/2006/relationships/hyperlink" Target="https://www.facebook.com/USAinUAE/" TargetMode="External"/><Relationship Id="rId1061" Type="http://schemas.openxmlformats.org/officeDocument/2006/relationships/hyperlink" Target="https://www.instagram.com/usainuae" TargetMode="External"/><Relationship Id="rId231" Type="http://schemas.openxmlformats.org/officeDocument/2006/relationships/hyperlink" Target="https://www.facebook.com/USEmbassyPraia/" TargetMode="External"/><Relationship Id="rId473" Type="http://schemas.openxmlformats.org/officeDocument/2006/relationships/hyperlink" Target="https://x.com/usambjapan" TargetMode="External"/><Relationship Id="rId1062" Type="http://schemas.openxmlformats.org/officeDocument/2006/relationships/hyperlink" Target="https://www.linkedin.com/company/usainuae/" TargetMode="External"/><Relationship Id="rId230" Type="http://schemas.openxmlformats.org/officeDocument/2006/relationships/hyperlink" Target="https://x.com/US_Emb_Burundi" TargetMode="External"/><Relationship Id="rId472" Type="http://schemas.openxmlformats.org/officeDocument/2006/relationships/hyperlink" Target="https://www.instagram.com/usambjapan/" TargetMode="External"/><Relationship Id="rId1063" Type="http://schemas.openxmlformats.org/officeDocument/2006/relationships/hyperlink" Target="https://x.com/USAinUAE" TargetMode="External"/><Relationship Id="rId471" Type="http://schemas.openxmlformats.org/officeDocument/2006/relationships/hyperlink" Target="https://x.com/ACSTokyo" TargetMode="External"/><Relationship Id="rId1064" Type="http://schemas.openxmlformats.org/officeDocument/2006/relationships/hyperlink" Target="https://youtube.com/user/USEmbUAE" TargetMode="External"/><Relationship Id="rId470" Type="http://schemas.openxmlformats.org/officeDocument/2006/relationships/hyperlink" Target="https://facebook.com/ACSTokyo" TargetMode="External"/><Relationship Id="rId1065" Type="http://schemas.openxmlformats.org/officeDocument/2006/relationships/hyperlink" Target="https://x.com/StateDept_NEA" TargetMode="External"/><Relationship Id="rId235" Type="http://schemas.openxmlformats.org/officeDocument/2006/relationships/hyperlink" Target="https://www.facebook.com/yaounde.usembassy/" TargetMode="External"/><Relationship Id="rId477" Type="http://schemas.openxmlformats.org/officeDocument/2006/relationships/hyperlink" Target="https://x.com/USConsFukuoka" TargetMode="External"/><Relationship Id="rId1066" Type="http://schemas.openxmlformats.org/officeDocument/2006/relationships/hyperlink" Target="https://www.facebook.com/USMEPI/" TargetMode="External"/><Relationship Id="rId234" Type="http://schemas.openxmlformats.org/officeDocument/2006/relationships/hyperlink" Target="https://www.flickr.com/photos/embaixadaeua-caboverde/" TargetMode="External"/><Relationship Id="rId476" Type="http://schemas.openxmlformats.org/officeDocument/2006/relationships/hyperlink" Target="https://www.instagram.com/usconsfukuoka/" TargetMode="External"/><Relationship Id="rId1067" Type="http://schemas.openxmlformats.org/officeDocument/2006/relationships/hyperlink" Target="https://x.com/USMEPI" TargetMode="External"/><Relationship Id="rId233" Type="http://schemas.openxmlformats.org/officeDocument/2006/relationships/hyperlink" Target="https://x.com/USEmbassyPraia" TargetMode="External"/><Relationship Id="rId475" Type="http://schemas.openxmlformats.org/officeDocument/2006/relationships/hyperlink" Target="https://www.facebook.com/USConsulateFukuoka/" TargetMode="External"/><Relationship Id="rId1068" Type="http://schemas.openxmlformats.org/officeDocument/2006/relationships/hyperlink" Target="https://www.facebook.com/USAbehFarsi/" TargetMode="External"/><Relationship Id="rId232" Type="http://schemas.openxmlformats.org/officeDocument/2006/relationships/hyperlink" Target="https://www.instagram.com/usembassypraia" TargetMode="External"/><Relationship Id="rId474" Type="http://schemas.openxmlformats.org/officeDocument/2006/relationships/hyperlink" Target="https://www.threads.net/@usambjapan" TargetMode="External"/><Relationship Id="rId1069" Type="http://schemas.openxmlformats.org/officeDocument/2006/relationships/hyperlink" Target="https://www.instagram.com/usabehfarsi/" TargetMode="External"/><Relationship Id="rId1015" Type="http://schemas.openxmlformats.org/officeDocument/2006/relationships/hyperlink" Target="https://www.youtube.com/@usinbeirut" TargetMode="External"/><Relationship Id="rId1257" Type="http://schemas.openxmlformats.org/officeDocument/2006/relationships/hyperlink" Target="https://x.com/USEmbCuba" TargetMode="External"/><Relationship Id="rId1016" Type="http://schemas.openxmlformats.org/officeDocument/2006/relationships/hyperlink" Target="https://whatsapp.com/channel/0029VaUiCFg6hENiACjfs51q" TargetMode="External"/><Relationship Id="rId1258" Type="http://schemas.openxmlformats.org/officeDocument/2006/relationships/hyperlink" Target="https://www.facebook.com/curacao.usconsulate/" TargetMode="External"/><Relationship Id="rId1017" Type="http://schemas.openxmlformats.org/officeDocument/2006/relationships/hyperlink" Target="https://www.facebook.com/USEmbassyLibya/" TargetMode="External"/><Relationship Id="rId1259" Type="http://schemas.openxmlformats.org/officeDocument/2006/relationships/hyperlink" Target="https://www.instagram.com/usaindutchcaribbean/" TargetMode="External"/><Relationship Id="rId1018" Type="http://schemas.openxmlformats.org/officeDocument/2006/relationships/hyperlink" Target="https://www.instagram.com/usembassylibya/" TargetMode="External"/><Relationship Id="rId1019" Type="http://schemas.openxmlformats.org/officeDocument/2006/relationships/hyperlink" Target="https://x.com/USEmbassyLibya" TargetMode="External"/><Relationship Id="rId426" Type="http://schemas.openxmlformats.org/officeDocument/2006/relationships/hyperlink" Target="https://weibo.com/usconsulatewuhan" TargetMode="External"/><Relationship Id="rId668" Type="http://schemas.openxmlformats.org/officeDocument/2006/relationships/hyperlink" Target="https://www.linkedin.com/company/usembfinland/" TargetMode="External"/><Relationship Id="rId425" Type="http://schemas.openxmlformats.org/officeDocument/2006/relationships/hyperlink" Target="https://www.weibo.com/shenyangconsulate/" TargetMode="External"/><Relationship Id="rId667" Type="http://schemas.openxmlformats.org/officeDocument/2006/relationships/hyperlink" Target="https://www.instagram.com/usembfinland/" TargetMode="External"/><Relationship Id="rId424" Type="http://schemas.openxmlformats.org/officeDocument/2006/relationships/hyperlink" Target="https://x.com/USCGShanghai" TargetMode="External"/><Relationship Id="rId666" Type="http://schemas.openxmlformats.org/officeDocument/2006/relationships/hyperlink" Target="https://www.facebook.com/finland.usembassy/" TargetMode="External"/><Relationship Id="rId423" Type="http://schemas.openxmlformats.org/officeDocument/2006/relationships/hyperlink" Target="https://weibo.com/u/3216945711" TargetMode="External"/><Relationship Id="rId665" Type="http://schemas.openxmlformats.org/officeDocument/2006/relationships/hyperlink" Target="https://www.facebook.com/estonia.usembassy.rus/" TargetMode="External"/><Relationship Id="rId429" Type="http://schemas.openxmlformats.org/officeDocument/2006/relationships/hyperlink" Target="https://x.com/USA_China_Talk" TargetMode="External"/><Relationship Id="rId428" Type="http://schemas.openxmlformats.org/officeDocument/2006/relationships/hyperlink" Target="https://www.flickr.com/photos/44740126@N07/sets/" TargetMode="External"/><Relationship Id="rId427" Type="http://schemas.openxmlformats.org/officeDocument/2006/relationships/hyperlink" Target="https://i.youku.com/i/UMjkxNjcxNDA4MA==" TargetMode="External"/><Relationship Id="rId669" Type="http://schemas.openxmlformats.org/officeDocument/2006/relationships/hyperlink" Target="https://x.com/usembfinland" TargetMode="External"/><Relationship Id="rId660" Type="http://schemas.openxmlformats.org/officeDocument/2006/relationships/hyperlink" Target="https://x.com/usambestonia" TargetMode="External"/><Relationship Id="rId1250" Type="http://schemas.openxmlformats.org/officeDocument/2006/relationships/hyperlink" Target="https://www.instagram.com/usembassysjo/" TargetMode="External"/><Relationship Id="rId1251" Type="http://schemas.openxmlformats.org/officeDocument/2006/relationships/hyperlink" Target="https://x.com/usembassysjo" TargetMode="External"/><Relationship Id="rId1010" Type="http://schemas.openxmlformats.org/officeDocument/2006/relationships/hyperlink" Target="https://youtube.com/user/usembassyq8" TargetMode="External"/><Relationship Id="rId1252" Type="http://schemas.openxmlformats.org/officeDocument/2006/relationships/hyperlink" Target="https://youtube.com/user/usembassysjo" TargetMode="External"/><Relationship Id="rId422" Type="http://schemas.openxmlformats.org/officeDocument/2006/relationships/hyperlink" Target="https://x.com/USCGGuangzhou" TargetMode="External"/><Relationship Id="rId664" Type="http://schemas.openxmlformats.org/officeDocument/2006/relationships/hyperlink" Target="https://www.youtube.com/user/USEmbassyTallinn" TargetMode="External"/><Relationship Id="rId1011" Type="http://schemas.openxmlformats.org/officeDocument/2006/relationships/hyperlink" Target="https://www.threads.net/@usembassyq8" TargetMode="External"/><Relationship Id="rId1253" Type="http://schemas.openxmlformats.org/officeDocument/2006/relationships/hyperlink" Target="https://www.linkedin.com/company/u-s-embassy-in-costa-rica/" TargetMode="External"/><Relationship Id="rId421" Type="http://schemas.openxmlformats.org/officeDocument/2006/relationships/hyperlink" Target="https://weibo.com/gzpas" TargetMode="External"/><Relationship Id="rId663" Type="http://schemas.openxmlformats.org/officeDocument/2006/relationships/hyperlink" Target="https://x.com/USEmbTallinn" TargetMode="External"/><Relationship Id="rId1012" Type="http://schemas.openxmlformats.org/officeDocument/2006/relationships/hyperlink" Target="https://www.facebook.com/USEmbassyBeirut/" TargetMode="External"/><Relationship Id="rId1254" Type="http://schemas.openxmlformats.org/officeDocument/2006/relationships/hyperlink" Target="https://www.flickr.com/photos/usembassysjo/" TargetMode="External"/><Relationship Id="rId420" Type="http://schemas.openxmlformats.org/officeDocument/2006/relationships/hyperlink" Target="https://x.com/USAmbChina/" TargetMode="External"/><Relationship Id="rId662" Type="http://schemas.openxmlformats.org/officeDocument/2006/relationships/hyperlink" Target="https://www.instagram.com/usembassytallinn" TargetMode="External"/><Relationship Id="rId1013" Type="http://schemas.openxmlformats.org/officeDocument/2006/relationships/hyperlink" Target="https://www.instagram.com/usembassybeirut" TargetMode="External"/><Relationship Id="rId1255" Type="http://schemas.openxmlformats.org/officeDocument/2006/relationships/hyperlink" Target="https://www.facebook.com/USEmbCuba/" TargetMode="External"/><Relationship Id="rId661" Type="http://schemas.openxmlformats.org/officeDocument/2006/relationships/hyperlink" Target="https://www.facebook.com/estonia.usembassy/" TargetMode="External"/><Relationship Id="rId1014" Type="http://schemas.openxmlformats.org/officeDocument/2006/relationships/hyperlink" Target="https://x.com/usembassybeirut" TargetMode="External"/><Relationship Id="rId1256" Type="http://schemas.openxmlformats.org/officeDocument/2006/relationships/hyperlink" Target="https://www.instagram.com/usembcuba/" TargetMode="External"/><Relationship Id="rId1004" Type="http://schemas.openxmlformats.org/officeDocument/2006/relationships/hyperlink" Target="https://youtube.com/user/usembassyamman" TargetMode="External"/><Relationship Id="rId1246" Type="http://schemas.openxmlformats.org/officeDocument/2006/relationships/hyperlink" Target="https://youtube.com/user/USEmbassyBogota" TargetMode="External"/><Relationship Id="rId1005" Type="http://schemas.openxmlformats.org/officeDocument/2006/relationships/hyperlink" Target="https://x.com/USAmbKuwait" TargetMode="External"/><Relationship Id="rId1247" Type="http://schemas.openxmlformats.org/officeDocument/2006/relationships/hyperlink" Target="https://whatsapp.com/channel/0029VajwMf2LNSa92CocDY2y" TargetMode="External"/><Relationship Id="rId1006" Type="http://schemas.openxmlformats.org/officeDocument/2006/relationships/hyperlink" Target="https://www.facebook.com/USEmbassyQ8/" TargetMode="External"/><Relationship Id="rId1248" Type="http://schemas.openxmlformats.org/officeDocument/2006/relationships/hyperlink" Target="https://x.com/usambassadorcr" TargetMode="External"/><Relationship Id="rId1007" Type="http://schemas.openxmlformats.org/officeDocument/2006/relationships/hyperlink" Target="https://www.flickr.com/photos/americanembassykuwait" TargetMode="External"/><Relationship Id="rId1249" Type="http://schemas.openxmlformats.org/officeDocument/2006/relationships/hyperlink" Target="https://www.facebook.com/sanjose.usembassy/" TargetMode="External"/><Relationship Id="rId1008" Type="http://schemas.openxmlformats.org/officeDocument/2006/relationships/hyperlink" Target="https://www.instagram.com/usembassyq8" TargetMode="External"/><Relationship Id="rId1009" Type="http://schemas.openxmlformats.org/officeDocument/2006/relationships/hyperlink" Target="https://x.com/USEmbassyQ8" TargetMode="External"/><Relationship Id="rId415" Type="http://schemas.openxmlformats.org/officeDocument/2006/relationships/hyperlink" Target="https://x.com/USAmbCambodia" TargetMode="External"/><Relationship Id="rId657" Type="http://schemas.openxmlformats.org/officeDocument/2006/relationships/hyperlink" Target="https://www.linkedin.com/company/usembdenmark/" TargetMode="External"/><Relationship Id="rId899" Type="http://schemas.openxmlformats.org/officeDocument/2006/relationships/hyperlink" Target="https://www.instagram.com/usembturkiye/" TargetMode="External"/><Relationship Id="rId414" Type="http://schemas.openxmlformats.org/officeDocument/2006/relationships/hyperlink" Target="https://www.facebook.com/consularrangoon" TargetMode="External"/><Relationship Id="rId656" Type="http://schemas.openxmlformats.org/officeDocument/2006/relationships/hyperlink" Target="https://www.instagram.com/usembdenmark" TargetMode="External"/><Relationship Id="rId898" Type="http://schemas.openxmlformats.org/officeDocument/2006/relationships/hyperlink" Target="https://www.facebook.com/usembturkiye" TargetMode="External"/><Relationship Id="rId413" Type="http://schemas.openxmlformats.org/officeDocument/2006/relationships/hyperlink" Target="https://x.com/ACSRangoon" TargetMode="External"/><Relationship Id="rId655" Type="http://schemas.openxmlformats.org/officeDocument/2006/relationships/hyperlink" Target="https://www.facebook.com/denmark.usembassy/" TargetMode="External"/><Relationship Id="rId897" Type="http://schemas.openxmlformats.org/officeDocument/2006/relationships/hyperlink" Target="https://youtube.com/user/USConsulateIstanbul" TargetMode="External"/><Relationship Id="rId412" Type="http://schemas.openxmlformats.org/officeDocument/2006/relationships/hyperlink" Target="https://x.com/USEmbassyBurma" TargetMode="External"/><Relationship Id="rId654" Type="http://schemas.openxmlformats.org/officeDocument/2006/relationships/hyperlink" Target="https://x.com/usambdenmark" TargetMode="External"/><Relationship Id="rId896" Type="http://schemas.openxmlformats.org/officeDocument/2006/relationships/hyperlink" Target="https://x.com/ABDIstanbul" TargetMode="External"/><Relationship Id="rId419" Type="http://schemas.openxmlformats.org/officeDocument/2006/relationships/hyperlink" Target="https://x.com/USEmbPhnomPenh" TargetMode="External"/><Relationship Id="rId418" Type="http://schemas.openxmlformats.org/officeDocument/2006/relationships/hyperlink" Target="https://www.instagram.com/usembphnompenh" TargetMode="External"/><Relationship Id="rId417" Type="http://schemas.openxmlformats.org/officeDocument/2006/relationships/hyperlink" Target="https://www.flickr.com/photos/usembassyphnompenh/albums" TargetMode="External"/><Relationship Id="rId659" Type="http://schemas.openxmlformats.org/officeDocument/2006/relationships/hyperlink" Target="https://www.youtube.com/USEmbCPH" TargetMode="External"/><Relationship Id="rId416" Type="http://schemas.openxmlformats.org/officeDocument/2006/relationships/hyperlink" Target="https://www.facebook.com/us.embassy.phnom.penh/" TargetMode="External"/><Relationship Id="rId658" Type="http://schemas.openxmlformats.org/officeDocument/2006/relationships/hyperlink" Target="https://x.com/usembdenmark" TargetMode="External"/><Relationship Id="rId891" Type="http://schemas.openxmlformats.org/officeDocument/2006/relationships/hyperlink" Target="https://www.flickr.com/photos/usembassybern/" TargetMode="External"/><Relationship Id="rId890" Type="http://schemas.openxmlformats.org/officeDocument/2006/relationships/hyperlink" Target="https://youtube.com/@USEmbassyBern" TargetMode="External"/><Relationship Id="rId1240" Type="http://schemas.openxmlformats.org/officeDocument/2006/relationships/hyperlink" Target="https://x.com/EmbajadaEEUUcl" TargetMode="External"/><Relationship Id="rId1241" Type="http://schemas.openxmlformats.org/officeDocument/2006/relationships/hyperlink" Target="https://youtube.com/user/santiagopress" TargetMode="External"/><Relationship Id="rId411" Type="http://schemas.openxmlformats.org/officeDocument/2006/relationships/hyperlink" Target="https://www.linkedin.com/company/u-s-embassy-myanmar/about/" TargetMode="External"/><Relationship Id="rId653" Type="http://schemas.openxmlformats.org/officeDocument/2006/relationships/hyperlink" Target="https://www.instagram.com/usambdenmark/" TargetMode="External"/><Relationship Id="rId895" Type="http://schemas.openxmlformats.org/officeDocument/2006/relationships/hyperlink" Target="https://www.instagram.com/usconsistanbul/" TargetMode="External"/><Relationship Id="rId1000" Type="http://schemas.openxmlformats.org/officeDocument/2006/relationships/hyperlink" Target="https://www.facebook.com/jordan.usembassy/" TargetMode="External"/><Relationship Id="rId1242" Type="http://schemas.openxmlformats.org/officeDocument/2006/relationships/hyperlink" Target="https://www.facebook.com/usdos.colombia/" TargetMode="External"/><Relationship Id="rId410" Type="http://schemas.openxmlformats.org/officeDocument/2006/relationships/hyperlink" Target="https://www.instagram.com/usembassymm" TargetMode="External"/><Relationship Id="rId652" Type="http://schemas.openxmlformats.org/officeDocument/2006/relationships/hyperlink" Target="https://youtube.com/user/USEmbassyPrague" TargetMode="External"/><Relationship Id="rId894" Type="http://schemas.openxmlformats.org/officeDocument/2006/relationships/hyperlink" Target="https://www.facebook.com/usconsistanbul/" TargetMode="External"/><Relationship Id="rId1001" Type="http://schemas.openxmlformats.org/officeDocument/2006/relationships/hyperlink" Target="https://www.instagram.com/usembassyjordan" TargetMode="External"/><Relationship Id="rId1243" Type="http://schemas.openxmlformats.org/officeDocument/2006/relationships/hyperlink" Target="https://www.instagram.com/usembassybogota" TargetMode="External"/><Relationship Id="rId651" Type="http://schemas.openxmlformats.org/officeDocument/2006/relationships/hyperlink" Target="https://x.com/USEmbassyPrague" TargetMode="External"/><Relationship Id="rId893" Type="http://schemas.openxmlformats.org/officeDocument/2006/relationships/hyperlink" Target="https://www.instagram.com/usconsadana" TargetMode="External"/><Relationship Id="rId1002" Type="http://schemas.openxmlformats.org/officeDocument/2006/relationships/hyperlink" Target="https://www.linkedin.com/company/u-s-embassy-amman-jordan/" TargetMode="External"/><Relationship Id="rId1244" Type="http://schemas.openxmlformats.org/officeDocument/2006/relationships/hyperlink" Target="https://www.linkedin.com/showcase/u-s-embassy-bogot%C3%A1-colombia/" TargetMode="External"/><Relationship Id="rId650" Type="http://schemas.openxmlformats.org/officeDocument/2006/relationships/hyperlink" Target="https://www.instagram.com/usembassyprague" TargetMode="External"/><Relationship Id="rId892" Type="http://schemas.openxmlformats.org/officeDocument/2006/relationships/hyperlink" Target="https://www.facebook.com/usconsadana/" TargetMode="External"/><Relationship Id="rId1003" Type="http://schemas.openxmlformats.org/officeDocument/2006/relationships/hyperlink" Target="https://x.com/USEmbassyJordan" TargetMode="External"/><Relationship Id="rId1245" Type="http://schemas.openxmlformats.org/officeDocument/2006/relationships/hyperlink" Target="https://x.com/USEmbassyBogota" TargetMode="External"/><Relationship Id="rId1037" Type="http://schemas.openxmlformats.org/officeDocument/2006/relationships/hyperlink" Target="https://x.com/USEmbassyDoha" TargetMode="External"/><Relationship Id="rId1279" Type="http://schemas.openxmlformats.org/officeDocument/2006/relationships/hyperlink" Target="https://www.flickr.com/photos/usembassyguatemala/" TargetMode="External"/><Relationship Id="rId1038" Type="http://schemas.openxmlformats.org/officeDocument/2006/relationships/hyperlink" Target="https://youtube.com/user/AmericanEmbassyDoha" TargetMode="External"/><Relationship Id="rId1039" Type="http://schemas.openxmlformats.org/officeDocument/2006/relationships/hyperlink" Target="https://x.com/ksa_acs" TargetMode="External"/><Relationship Id="rId206" Type="http://schemas.openxmlformats.org/officeDocument/2006/relationships/hyperlink" Target="https://www.facebook.com/PEPFAR" TargetMode="External"/><Relationship Id="rId448" Type="http://schemas.openxmlformats.org/officeDocument/2006/relationships/hyperlink" Target="https://www.facebook.com/uscongensby/" TargetMode="External"/><Relationship Id="rId205" Type="http://schemas.openxmlformats.org/officeDocument/2006/relationships/hyperlink" Target="https://www.youtube.com/user/uspepfar" TargetMode="External"/><Relationship Id="rId447" Type="http://schemas.openxmlformats.org/officeDocument/2006/relationships/hyperlink" Target="https://www.instagram.com/konsulatasmdn" TargetMode="External"/><Relationship Id="rId689" Type="http://schemas.openxmlformats.org/officeDocument/2006/relationships/hyperlink" Target="https://www.youtube.com/@u.s.embassyfrance" TargetMode="External"/><Relationship Id="rId204" Type="http://schemas.openxmlformats.org/officeDocument/2006/relationships/hyperlink" Target="https://www.instagram.com/pepfar/" TargetMode="External"/><Relationship Id="rId446" Type="http://schemas.openxmlformats.org/officeDocument/2006/relationships/hyperlink" Target="https://www.facebook.com/KonsulatASMdn/" TargetMode="External"/><Relationship Id="rId688" Type="http://schemas.openxmlformats.org/officeDocument/2006/relationships/hyperlink" Target="https://www.linkedin.com/company/u-s-embassy-france/" TargetMode="External"/><Relationship Id="rId203" Type="http://schemas.openxmlformats.org/officeDocument/2006/relationships/hyperlink" Target="https://x.com/PEPFAR" TargetMode="External"/><Relationship Id="rId445" Type="http://schemas.openxmlformats.org/officeDocument/2006/relationships/hyperlink" Target="https://x.com/USAmbIndonesia" TargetMode="External"/><Relationship Id="rId687" Type="http://schemas.openxmlformats.org/officeDocument/2006/relationships/hyperlink" Target="https://x.com/USEmbassyFrance" TargetMode="External"/><Relationship Id="rId209" Type="http://schemas.openxmlformats.org/officeDocument/2006/relationships/hyperlink" Target="https://x.com/SubnationalDip" TargetMode="External"/><Relationship Id="rId208" Type="http://schemas.openxmlformats.org/officeDocument/2006/relationships/hyperlink" Target="https://www.instagram.com/secrubio/" TargetMode="External"/><Relationship Id="rId207" Type="http://schemas.openxmlformats.org/officeDocument/2006/relationships/hyperlink" Target="https://x.com/secrubio" TargetMode="External"/><Relationship Id="rId449" Type="http://schemas.openxmlformats.org/officeDocument/2006/relationships/hyperlink" Target="https://www.instagram.com/uscongensby" TargetMode="External"/><Relationship Id="rId1270" Type="http://schemas.openxmlformats.org/officeDocument/2006/relationships/hyperlink" Target="https://www.instagram.com/usembassysv" TargetMode="External"/><Relationship Id="rId440" Type="http://schemas.openxmlformats.org/officeDocument/2006/relationships/hyperlink" Target="https://youtube.com/@usembassyfiji" TargetMode="External"/><Relationship Id="rId682" Type="http://schemas.openxmlformats.org/officeDocument/2006/relationships/hyperlink" Target="https://facebook.com/strasbourg.usconsulate" TargetMode="External"/><Relationship Id="rId1271" Type="http://schemas.openxmlformats.org/officeDocument/2006/relationships/hyperlink" Target="https://x.com/USEmbassySV" TargetMode="External"/><Relationship Id="rId681" Type="http://schemas.openxmlformats.org/officeDocument/2006/relationships/hyperlink" Target="https://x.com/ConsulatRennes" TargetMode="External"/><Relationship Id="rId1030" Type="http://schemas.openxmlformats.org/officeDocument/2006/relationships/hyperlink" Target="https://www.facebook.com/USEmbassyMuscat/" TargetMode="External"/><Relationship Id="rId1272" Type="http://schemas.openxmlformats.org/officeDocument/2006/relationships/hyperlink" Target="https://youtube.com/user/usembassyelsalvador" TargetMode="External"/><Relationship Id="rId680" Type="http://schemas.openxmlformats.org/officeDocument/2006/relationships/hyperlink" Target="https://www.instagram.com/usconsulaterennes/" TargetMode="External"/><Relationship Id="rId1031" Type="http://schemas.openxmlformats.org/officeDocument/2006/relationships/hyperlink" Target="https://www.instagram.com/usembassymuscat" TargetMode="External"/><Relationship Id="rId1273" Type="http://schemas.openxmlformats.org/officeDocument/2006/relationships/hyperlink" Target="https://www.linkedin.com/company/u-s-embassy-in-san-salvador/" TargetMode="External"/><Relationship Id="rId1032" Type="http://schemas.openxmlformats.org/officeDocument/2006/relationships/hyperlink" Target="https://x.com/USEmbMuscat" TargetMode="External"/><Relationship Id="rId1274" Type="http://schemas.openxmlformats.org/officeDocument/2006/relationships/hyperlink" Target="https://www.flickr.com/photos/40236643@N04" TargetMode="External"/><Relationship Id="rId202" Type="http://schemas.openxmlformats.org/officeDocument/2006/relationships/hyperlink" Target="https://x.com/us_arctic" TargetMode="External"/><Relationship Id="rId444" Type="http://schemas.openxmlformats.org/officeDocument/2006/relationships/hyperlink" Target="https://www.youtube.com/@USConsulateHongKong/" TargetMode="External"/><Relationship Id="rId686" Type="http://schemas.openxmlformats.org/officeDocument/2006/relationships/hyperlink" Target="https://www.instagram.com/usembassyfrance" TargetMode="External"/><Relationship Id="rId1033" Type="http://schemas.openxmlformats.org/officeDocument/2006/relationships/hyperlink" Target="https://youtube.com/user/USEmbassyMuscat" TargetMode="External"/><Relationship Id="rId1275" Type="http://schemas.openxmlformats.org/officeDocument/2006/relationships/hyperlink" Target="https://www.facebook.com/Embajada.EEUU.Guatemala/" TargetMode="External"/><Relationship Id="rId201" Type="http://schemas.openxmlformats.org/officeDocument/2006/relationships/hyperlink" Target="https://x.com/StateOIG" TargetMode="External"/><Relationship Id="rId443" Type="http://schemas.openxmlformats.org/officeDocument/2006/relationships/hyperlink" Target="https://x.com/USAinHKMacau" TargetMode="External"/><Relationship Id="rId685" Type="http://schemas.openxmlformats.org/officeDocument/2006/relationships/hyperlink" Target="https://www.facebook.com/usdos.france/" TargetMode="External"/><Relationship Id="rId1034" Type="http://schemas.openxmlformats.org/officeDocument/2006/relationships/hyperlink" Target="https://x.com/USAmbQatar" TargetMode="External"/><Relationship Id="rId1276" Type="http://schemas.openxmlformats.org/officeDocument/2006/relationships/hyperlink" Target="https://www.instagram.com/usembassyguatemala" TargetMode="External"/><Relationship Id="rId200" Type="http://schemas.openxmlformats.org/officeDocument/2006/relationships/hyperlink" Target="https://www.instagram.com/us_protocol" TargetMode="External"/><Relationship Id="rId442" Type="http://schemas.openxmlformats.org/officeDocument/2006/relationships/hyperlink" Target="https://www.instagram.com/usainhkmacau" TargetMode="External"/><Relationship Id="rId684" Type="http://schemas.openxmlformats.org/officeDocument/2006/relationships/hyperlink" Target="https://x.com/USAStrasbourg" TargetMode="External"/><Relationship Id="rId1035" Type="http://schemas.openxmlformats.org/officeDocument/2006/relationships/hyperlink" Target="https://www.facebook.com/USEmbassyDoha/" TargetMode="External"/><Relationship Id="rId1277" Type="http://schemas.openxmlformats.org/officeDocument/2006/relationships/hyperlink" Target="https://x.com/usembassyguate" TargetMode="External"/><Relationship Id="rId441" Type="http://schemas.openxmlformats.org/officeDocument/2006/relationships/hyperlink" Target="https://www.facebook.com/USAinHKMacau/" TargetMode="External"/><Relationship Id="rId683" Type="http://schemas.openxmlformats.org/officeDocument/2006/relationships/hyperlink" Target="https://www.instagram.com/usa_strasbourg/" TargetMode="External"/><Relationship Id="rId1036" Type="http://schemas.openxmlformats.org/officeDocument/2006/relationships/hyperlink" Target="https://www.instagram.com/usembassydoha" TargetMode="External"/><Relationship Id="rId1278" Type="http://schemas.openxmlformats.org/officeDocument/2006/relationships/hyperlink" Target="https://www.youtube.com/@USEmbassyGUATE" TargetMode="External"/><Relationship Id="rId1026" Type="http://schemas.openxmlformats.org/officeDocument/2006/relationships/hyperlink" Target="https://www.instagram.com/usembassymorocco" TargetMode="External"/><Relationship Id="rId1268" Type="http://schemas.openxmlformats.org/officeDocument/2006/relationships/hyperlink" Target="https://x.com/usambsv" TargetMode="External"/><Relationship Id="rId1027" Type="http://schemas.openxmlformats.org/officeDocument/2006/relationships/hyperlink" Target="https://www.linkedin.com/company/u-s-mission-morocco/" TargetMode="External"/><Relationship Id="rId1269" Type="http://schemas.openxmlformats.org/officeDocument/2006/relationships/hyperlink" Target="https://www.facebook.com/embajadaamericanaelsalvador/" TargetMode="External"/><Relationship Id="rId1028" Type="http://schemas.openxmlformats.org/officeDocument/2006/relationships/hyperlink" Target="https://x.com/USEmbMorocco" TargetMode="External"/><Relationship Id="rId1029" Type="http://schemas.openxmlformats.org/officeDocument/2006/relationships/hyperlink" Target="https://youtube.com/user/usembrabat" TargetMode="External"/><Relationship Id="rId437" Type="http://schemas.openxmlformats.org/officeDocument/2006/relationships/hyperlink" Target="https://www.flickr.com/photos/167418767@N06/" TargetMode="External"/><Relationship Id="rId679" Type="http://schemas.openxmlformats.org/officeDocument/2006/relationships/hyperlink" Target="https://www.facebook.com/usdos.rennes/" TargetMode="External"/><Relationship Id="rId436" Type="http://schemas.openxmlformats.org/officeDocument/2006/relationships/hyperlink" Target="https://www.facebook.com/usembassysuva/" TargetMode="External"/><Relationship Id="rId678" Type="http://schemas.openxmlformats.org/officeDocument/2006/relationships/hyperlink" Target="https://x.com/usamarseille" TargetMode="External"/><Relationship Id="rId435" Type="http://schemas.openxmlformats.org/officeDocument/2006/relationships/hyperlink" Target="https://x.com/USAmbSuva" TargetMode="External"/><Relationship Id="rId677" Type="http://schemas.openxmlformats.org/officeDocument/2006/relationships/hyperlink" Target="https://www.instagram.com/usconsulatemarseille/" TargetMode="External"/><Relationship Id="rId434" Type="http://schemas.openxmlformats.org/officeDocument/2006/relationships/hyperlink" Target="https://x.com/USEmbassyFSM" TargetMode="External"/><Relationship Id="rId676" Type="http://schemas.openxmlformats.org/officeDocument/2006/relationships/hyperlink" Target="https://www.facebook.com/usdos.marseille/" TargetMode="External"/><Relationship Id="rId439" Type="http://schemas.openxmlformats.org/officeDocument/2006/relationships/hyperlink" Target="https://x.com/USEmbassySuva" TargetMode="External"/><Relationship Id="rId438" Type="http://schemas.openxmlformats.org/officeDocument/2006/relationships/hyperlink" Target="https://www.instagram.com/usembassysuva" TargetMode="External"/><Relationship Id="rId671" Type="http://schemas.openxmlformats.org/officeDocument/2006/relationships/hyperlink" Target="https://www.flickr.com/photos/usembfinland/" TargetMode="External"/><Relationship Id="rId1260" Type="http://schemas.openxmlformats.org/officeDocument/2006/relationships/hyperlink" Target="https://www.facebook.com/EmbajadaUSAenRD/" TargetMode="External"/><Relationship Id="rId670" Type="http://schemas.openxmlformats.org/officeDocument/2006/relationships/hyperlink" Target="https://youtube.com/user/USEmbassyHelsinki" TargetMode="External"/><Relationship Id="rId1261" Type="http://schemas.openxmlformats.org/officeDocument/2006/relationships/hyperlink" Target="https://www.instagram.com/embajadausaenrd" TargetMode="External"/><Relationship Id="rId1020" Type="http://schemas.openxmlformats.org/officeDocument/2006/relationships/hyperlink" Target="https://youtube.com/user/USEmbassyTripoli" TargetMode="External"/><Relationship Id="rId1262" Type="http://schemas.openxmlformats.org/officeDocument/2006/relationships/hyperlink" Target="https://x.com/EmbajadaUSAenRD" TargetMode="External"/><Relationship Id="rId1021" Type="http://schemas.openxmlformats.org/officeDocument/2006/relationships/hyperlink" Target="https://www.facebook.com/DarAmericaCasablanca/" TargetMode="External"/><Relationship Id="rId1263" Type="http://schemas.openxmlformats.org/officeDocument/2006/relationships/hyperlink" Target="https://youtube.com/user/embajadausaenrd" TargetMode="External"/><Relationship Id="rId433" Type="http://schemas.openxmlformats.org/officeDocument/2006/relationships/hyperlink" Target="https://www.flickr.com/photos/usembassykolonia/" TargetMode="External"/><Relationship Id="rId675" Type="http://schemas.openxmlformats.org/officeDocument/2006/relationships/hyperlink" Target="https://www.instagram.com/usconsulatelyon/" TargetMode="External"/><Relationship Id="rId1022" Type="http://schemas.openxmlformats.org/officeDocument/2006/relationships/hyperlink" Target="https://www.instagram.com/daramericacasablanca/" TargetMode="External"/><Relationship Id="rId1264" Type="http://schemas.openxmlformats.org/officeDocument/2006/relationships/hyperlink" Target="https://www.facebook.com/USEmbassyEC/" TargetMode="External"/><Relationship Id="rId432" Type="http://schemas.openxmlformats.org/officeDocument/2006/relationships/hyperlink" Target="https://www.facebook.com/usembassykolonia/" TargetMode="External"/><Relationship Id="rId674" Type="http://schemas.openxmlformats.org/officeDocument/2006/relationships/hyperlink" Target="https://www.facebook.com/USConsulat.Lyon/" TargetMode="External"/><Relationship Id="rId1023" Type="http://schemas.openxmlformats.org/officeDocument/2006/relationships/hyperlink" Target="https://x.com/USAmbMorocco" TargetMode="External"/><Relationship Id="rId1265" Type="http://schemas.openxmlformats.org/officeDocument/2006/relationships/hyperlink" Target="https://www.instagram.com/usembassyec/" TargetMode="External"/><Relationship Id="rId431" Type="http://schemas.openxmlformats.org/officeDocument/2006/relationships/hyperlink" Target="https://www.youku.com/profile/index/?spm=a2h0c.8166622.PhoneSokuPgc_1.dportrait&amp;uid=UMTI2MjUzNTU2" TargetMode="External"/><Relationship Id="rId673" Type="http://schemas.openxmlformats.org/officeDocument/2006/relationships/hyperlink" Target="https://www.facebook.com/usdos.bordeaux/" TargetMode="External"/><Relationship Id="rId1024" Type="http://schemas.openxmlformats.org/officeDocument/2006/relationships/hyperlink" Target="https://www.facebook.com/USEmbassyMorocco/" TargetMode="External"/><Relationship Id="rId1266" Type="http://schemas.openxmlformats.org/officeDocument/2006/relationships/hyperlink" Target="https://x.com/usembassyec" TargetMode="External"/><Relationship Id="rId430" Type="http://schemas.openxmlformats.org/officeDocument/2006/relationships/hyperlink" Target="https://weibo.com/usembassy" TargetMode="External"/><Relationship Id="rId672" Type="http://schemas.openxmlformats.org/officeDocument/2006/relationships/hyperlink" Target="https://x.com/USAmbFrance" TargetMode="External"/><Relationship Id="rId1025" Type="http://schemas.openxmlformats.org/officeDocument/2006/relationships/hyperlink" Target="https://www.flickr.com/photos/usembassyrabat" TargetMode="External"/><Relationship Id="rId1267" Type="http://schemas.openxmlformats.org/officeDocument/2006/relationships/hyperlink" Target="https://youtube.com/user/USEmbassyQui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28.88"/>
    <col customWidth="1" min="3" max="3" width="42.13"/>
    <col customWidth="1" min="5" max="5" width="65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2" t="s">
        <v>7</v>
      </c>
      <c r="D2" s="2" t="s">
        <v>8</v>
      </c>
      <c r="E2" s="3" t="s">
        <v>9</v>
      </c>
    </row>
    <row r="3">
      <c r="A3" s="2" t="s">
        <v>10</v>
      </c>
      <c r="B3" s="2" t="s">
        <v>6</v>
      </c>
      <c r="C3" s="2" t="s">
        <v>11</v>
      </c>
      <c r="D3" s="4" t="s">
        <v>12</v>
      </c>
      <c r="E3" s="5" t="s">
        <v>13</v>
      </c>
    </row>
    <row r="4">
      <c r="A4" s="2" t="s">
        <v>10</v>
      </c>
      <c r="B4" s="2" t="s">
        <v>6</v>
      </c>
      <c r="C4" s="2" t="s">
        <v>11</v>
      </c>
      <c r="D4" s="2" t="s">
        <v>14</v>
      </c>
      <c r="E4" s="3" t="s">
        <v>15</v>
      </c>
    </row>
    <row r="5">
      <c r="A5" s="2" t="s">
        <v>16</v>
      </c>
      <c r="B5" s="2" t="s">
        <v>6</v>
      </c>
      <c r="C5" s="2" t="s">
        <v>17</v>
      </c>
      <c r="D5" s="2" t="s">
        <v>14</v>
      </c>
      <c r="E5" s="3" t="s">
        <v>18</v>
      </c>
    </row>
    <row r="6">
      <c r="A6" s="2" t="s">
        <v>16</v>
      </c>
      <c r="B6" s="2" t="s">
        <v>6</v>
      </c>
      <c r="C6" s="2" t="s">
        <v>17</v>
      </c>
      <c r="D6" s="2" t="s">
        <v>19</v>
      </c>
      <c r="E6" s="3" t="s">
        <v>20</v>
      </c>
    </row>
    <row r="7">
      <c r="A7" s="2" t="s">
        <v>16</v>
      </c>
      <c r="B7" s="2" t="s">
        <v>6</v>
      </c>
      <c r="C7" s="2" t="s">
        <v>17</v>
      </c>
      <c r="D7" s="4" t="s">
        <v>21</v>
      </c>
      <c r="E7" s="3" t="s">
        <v>22</v>
      </c>
    </row>
    <row r="8">
      <c r="A8" s="2" t="s">
        <v>16</v>
      </c>
      <c r="B8" s="2" t="s">
        <v>6</v>
      </c>
      <c r="C8" s="2" t="s">
        <v>17</v>
      </c>
      <c r="D8" s="2" t="s">
        <v>23</v>
      </c>
      <c r="E8" s="3" t="s">
        <v>24</v>
      </c>
    </row>
    <row r="9">
      <c r="A9" s="2" t="s">
        <v>16</v>
      </c>
      <c r="B9" s="2" t="s">
        <v>6</v>
      </c>
      <c r="C9" s="2" t="s">
        <v>17</v>
      </c>
      <c r="D9" s="4" t="s">
        <v>25</v>
      </c>
      <c r="E9" s="3" t="s">
        <v>26</v>
      </c>
    </row>
    <row r="10">
      <c r="A10" s="2" t="s">
        <v>27</v>
      </c>
      <c r="B10" s="2" t="s">
        <v>6</v>
      </c>
      <c r="C10" s="2" t="s">
        <v>28</v>
      </c>
      <c r="D10" s="4" t="s">
        <v>12</v>
      </c>
      <c r="E10" s="6" t="s">
        <v>29</v>
      </c>
    </row>
    <row r="11">
      <c r="A11" s="2" t="s">
        <v>27</v>
      </c>
      <c r="B11" s="2" t="s">
        <v>6</v>
      </c>
      <c r="C11" s="2" t="s">
        <v>28</v>
      </c>
      <c r="D11" s="2" t="s">
        <v>8</v>
      </c>
      <c r="E11" s="3" t="s">
        <v>30</v>
      </c>
    </row>
    <row r="12">
      <c r="A12" s="2" t="s">
        <v>27</v>
      </c>
      <c r="B12" s="2" t="s">
        <v>6</v>
      </c>
      <c r="C12" s="2" t="s">
        <v>28</v>
      </c>
      <c r="D12" s="4" t="s">
        <v>23</v>
      </c>
      <c r="E12" s="6" t="s">
        <v>31</v>
      </c>
    </row>
    <row r="13">
      <c r="A13" s="2" t="s">
        <v>32</v>
      </c>
      <c r="B13" s="2" t="s">
        <v>6</v>
      </c>
      <c r="C13" s="2" t="s">
        <v>33</v>
      </c>
      <c r="D13" s="2" t="s">
        <v>14</v>
      </c>
      <c r="E13" s="6" t="s">
        <v>34</v>
      </c>
    </row>
    <row r="14">
      <c r="A14" s="2" t="s">
        <v>32</v>
      </c>
      <c r="B14" s="2" t="s">
        <v>6</v>
      </c>
      <c r="C14" s="2" t="s">
        <v>33</v>
      </c>
      <c r="D14" s="4" t="s">
        <v>12</v>
      </c>
      <c r="E14" s="3" t="s">
        <v>35</v>
      </c>
    </row>
    <row r="15">
      <c r="A15" s="2" t="s">
        <v>36</v>
      </c>
      <c r="B15" s="2" t="s">
        <v>6</v>
      </c>
      <c r="C15" s="2" t="s">
        <v>37</v>
      </c>
      <c r="D15" s="4" t="s">
        <v>12</v>
      </c>
      <c r="E15" s="3" t="s">
        <v>38</v>
      </c>
    </row>
    <row r="16">
      <c r="A16" s="4" t="s">
        <v>39</v>
      </c>
      <c r="B16" s="2" t="s">
        <v>6</v>
      </c>
      <c r="C16" s="2" t="s">
        <v>40</v>
      </c>
      <c r="D16" s="4" t="s">
        <v>12</v>
      </c>
      <c r="E16" s="3" t="s">
        <v>41</v>
      </c>
    </row>
    <row r="17">
      <c r="A17" s="4" t="s">
        <v>39</v>
      </c>
      <c r="B17" s="2" t="s">
        <v>6</v>
      </c>
      <c r="C17" s="2" t="s">
        <v>40</v>
      </c>
      <c r="D17" s="4" t="s">
        <v>19</v>
      </c>
      <c r="E17" s="3" t="s">
        <v>42</v>
      </c>
    </row>
    <row r="18">
      <c r="A18" s="4" t="s">
        <v>43</v>
      </c>
      <c r="B18" s="2" t="s">
        <v>6</v>
      </c>
      <c r="C18" s="2" t="s">
        <v>44</v>
      </c>
      <c r="D18" s="4" t="s">
        <v>12</v>
      </c>
      <c r="E18" s="3" t="s">
        <v>45</v>
      </c>
    </row>
    <row r="19">
      <c r="A19" s="4" t="s">
        <v>43</v>
      </c>
      <c r="B19" s="2" t="s">
        <v>6</v>
      </c>
      <c r="C19" s="2" t="s">
        <v>44</v>
      </c>
      <c r="D19" s="4" t="s">
        <v>19</v>
      </c>
      <c r="E19" s="3" t="s">
        <v>46</v>
      </c>
    </row>
    <row r="20">
      <c r="A20" s="2" t="s">
        <v>47</v>
      </c>
      <c r="B20" s="2" t="s">
        <v>6</v>
      </c>
      <c r="C20" s="2" t="s">
        <v>48</v>
      </c>
      <c r="D20" s="2" t="s">
        <v>14</v>
      </c>
      <c r="E20" s="3" t="s">
        <v>49</v>
      </c>
      <c r="F20" s="7"/>
    </row>
    <row r="21">
      <c r="A21" s="2" t="s">
        <v>47</v>
      </c>
      <c r="B21" s="2" t="s">
        <v>6</v>
      </c>
      <c r="C21" s="2" t="s">
        <v>48</v>
      </c>
      <c r="D21" s="2" t="s">
        <v>19</v>
      </c>
      <c r="E21" s="3" t="s">
        <v>50</v>
      </c>
    </row>
    <row r="22">
      <c r="A22" s="2" t="s">
        <v>47</v>
      </c>
      <c r="B22" s="2" t="s">
        <v>6</v>
      </c>
      <c r="C22" s="2" t="s">
        <v>48</v>
      </c>
      <c r="D22" s="4" t="s">
        <v>12</v>
      </c>
      <c r="E22" s="3" t="s">
        <v>51</v>
      </c>
    </row>
    <row r="23">
      <c r="A23" s="2" t="s">
        <v>47</v>
      </c>
      <c r="B23" s="2" t="s">
        <v>6</v>
      </c>
      <c r="C23" s="2" t="s">
        <v>48</v>
      </c>
      <c r="D23" s="4" t="s">
        <v>23</v>
      </c>
      <c r="E23" s="3" t="s">
        <v>52</v>
      </c>
      <c r="F23" s="8"/>
    </row>
    <row r="24">
      <c r="A24" s="2" t="s">
        <v>53</v>
      </c>
      <c r="B24" s="2" t="s">
        <v>6</v>
      </c>
      <c r="C24" s="2" t="s">
        <v>54</v>
      </c>
      <c r="D24" s="2" t="s">
        <v>14</v>
      </c>
      <c r="E24" s="3" t="s">
        <v>55</v>
      </c>
    </row>
    <row r="25">
      <c r="A25" s="2" t="s">
        <v>53</v>
      </c>
      <c r="B25" s="2" t="s">
        <v>6</v>
      </c>
      <c r="C25" s="2" t="s">
        <v>54</v>
      </c>
      <c r="D25" s="2" t="s">
        <v>19</v>
      </c>
      <c r="E25" s="3" t="s">
        <v>56</v>
      </c>
    </row>
    <row r="26">
      <c r="A26" s="2" t="s">
        <v>53</v>
      </c>
      <c r="B26" s="2" t="s">
        <v>6</v>
      </c>
      <c r="C26" s="2" t="s">
        <v>54</v>
      </c>
      <c r="D26" s="4" t="s">
        <v>12</v>
      </c>
      <c r="E26" s="3" t="s">
        <v>57</v>
      </c>
    </row>
    <row r="27">
      <c r="A27" s="2" t="s">
        <v>53</v>
      </c>
      <c r="B27" s="2" t="s">
        <v>6</v>
      </c>
      <c r="C27" s="2" t="s">
        <v>54</v>
      </c>
      <c r="D27" s="2" t="s">
        <v>23</v>
      </c>
      <c r="E27" s="6" t="s">
        <v>58</v>
      </c>
    </row>
    <row r="28">
      <c r="A28" s="2" t="s">
        <v>53</v>
      </c>
      <c r="B28" s="2" t="s">
        <v>6</v>
      </c>
      <c r="C28" s="2" t="s">
        <v>54</v>
      </c>
      <c r="D28" s="2" t="s">
        <v>8</v>
      </c>
      <c r="E28" s="6" t="s">
        <v>59</v>
      </c>
    </row>
    <row r="29">
      <c r="A29" s="2" t="s">
        <v>53</v>
      </c>
      <c r="B29" s="2" t="s">
        <v>6</v>
      </c>
      <c r="C29" s="2" t="s">
        <v>54</v>
      </c>
      <c r="D29" s="2" t="s">
        <v>60</v>
      </c>
      <c r="E29" s="6" t="s">
        <v>61</v>
      </c>
    </row>
    <row r="30">
      <c r="A30" s="2" t="s">
        <v>53</v>
      </c>
      <c r="B30" s="2" t="s">
        <v>6</v>
      </c>
      <c r="C30" s="2" t="s">
        <v>62</v>
      </c>
      <c r="D30" s="4" t="s">
        <v>12</v>
      </c>
      <c r="E30" s="3" t="s">
        <v>63</v>
      </c>
    </row>
    <row r="31">
      <c r="A31" s="2" t="s">
        <v>53</v>
      </c>
      <c r="B31" s="2" t="s">
        <v>6</v>
      </c>
      <c r="C31" s="2" t="s">
        <v>62</v>
      </c>
      <c r="D31" s="2" t="s">
        <v>8</v>
      </c>
      <c r="E31" s="3" t="s">
        <v>64</v>
      </c>
    </row>
    <row r="32">
      <c r="A32" s="2" t="s">
        <v>65</v>
      </c>
      <c r="B32" s="2" t="s">
        <v>6</v>
      </c>
      <c r="C32" s="2" t="s">
        <v>66</v>
      </c>
      <c r="D32" s="2" t="s">
        <v>14</v>
      </c>
      <c r="E32" s="6" t="s">
        <v>67</v>
      </c>
    </row>
    <row r="33">
      <c r="A33" s="2" t="s">
        <v>65</v>
      </c>
      <c r="B33" s="2" t="s">
        <v>6</v>
      </c>
      <c r="C33" s="2" t="s">
        <v>66</v>
      </c>
      <c r="D33" s="4" t="s">
        <v>12</v>
      </c>
      <c r="E33" s="3" t="s">
        <v>68</v>
      </c>
    </row>
    <row r="34">
      <c r="A34" s="2" t="s">
        <v>65</v>
      </c>
      <c r="B34" s="2" t="s">
        <v>6</v>
      </c>
      <c r="C34" s="2" t="s">
        <v>66</v>
      </c>
      <c r="D34" s="2" t="s">
        <v>8</v>
      </c>
      <c r="E34" s="3" t="s">
        <v>69</v>
      </c>
    </row>
    <row r="35">
      <c r="A35" s="2" t="s">
        <v>65</v>
      </c>
      <c r="B35" s="2" t="s">
        <v>6</v>
      </c>
      <c r="C35" s="2" t="s">
        <v>70</v>
      </c>
      <c r="D35" s="2" t="s">
        <v>8</v>
      </c>
      <c r="E35" s="3" t="s">
        <v>71</v>
      </c>
    </row>
    <row r="36">
      <c r="A36" s="2" t="s">
        <v>65</v>
      </c>
      <c r="B36" s="2" t="s">
        <v>6</v>
      </c>
      <c r="C36" s="2" t="s">
        <v>72</v>
      </c>
      <c r="D36" s="2" t="s">
        <v>8</v>
      </c>
      <c r="E36" s="3" t="s">
        <v>73</v>
      </c>
    </row>
    <row r="37">
      <c r="A37" s="2" t="s">
        <v>65</v>
      </c>
      <c r="B37" s="2" t="s">
        <v>6</v>
      </c>
      <c r="C37" s="2" t="s">
        <v>72</v>
      </c>
      <c r="D37" s="4" t="s">
        <v>12</v>
      </c>
      <c r="E37" s="3" t="s">
        <v>74</v>
      </c>
    </row>
    <row r="38">
      <c r="A38" s="2" t="s">
        <v>65</v>
      </c>
      <c r="B38" s="2" t="s">
        <v>6</v>
      </c>
      <c r="C38" s="2" t="s">
        <v>72</v>
      </c>
      <c r="D38" s="2" t="s">
        <v>14</v>
      </c>
      <c r="E38" s="3" t="s">
        <v>75</v>
      </c>
    </row>
    <row r="39">
      <c r="A39" s="2" t="s">
        <v>76</v>
      </c>
      <c r="B39" s="2" t="s">
        <v>6</v>
      </c>
      <c r="C39" s="2" t="s">
        <v>77</v>
      </c>
      <c r="D39" s="2" t="s">
        <v>14</v>
      </c>
      <c r="E39" s="3" t="s">
        <v>78</v>
      </c>
    </row>
    <row r="40">
      <c r="A40" s="2" t="s">
        <v>76</v>
      </c>
      <c r="B40" s="2" t="s">
        <v>6</v>
      </c>
      <c r="C40" s="2" t="s">
        <v>77</v>
      </c>
      <c r="D40" s="2" t="s">
        <v>8</v>
      </c>
      <c r="E40" s="3" t="s">
        <v>79</v>
      </c>
      <c r="F40" s="7"/>
    </row>
    <row r="41">
      <c r="A41" s="2" t="s">
        <v>76</v>
      </c>
      <c r="B41" s="2" t="s">
        <v>6</v>
      </c>
      <c r="C41" s="2" t="s">
        <v>77</v>
      </c>
      <c r="D41" s="4" t="s">
        <v>12</v>
      </c>
      <c r="E41" s="3" t="s">
        <v>80</v>
      </c>
    </row>
    <row r="42">
      <c r="A42" s="2" t="s">
        <v>76</v>
      </c>
      <c r="B42" s="2" t="s">
        <v>6</v>
      </c>
      <c r="C42" s="2" t="s">
        <v>81</v>
      </c>
      <c r="D42" s="4" t="s">
        <v>12</v>
      </c>
      <c r="E42" s="3" t="s">
        <v>82</v>
      </c>
    </row>
    <row r="43">
      <c r="A43" s="2" t="s">
        <v>76</v>
      </c>
      <c r="B43" s="2" t="s">
        <v>6</v>
      </c>
      <c r="C43" s="2" t="s">
        <v>83</v>
      </c>
      <c r="D43" s="4" t="s">
        <v>12</v>
      </c>
      <c r="E43" s="3" t="s">
        <v>84</v>
      </c>
    </row>
    <row r="44">
      <c r="A44" s="2" t="s">
        <v>76</v>
      </c>
      <c r="B44" s="2" t="s">
        <v>6</v>
      </c>
      <c r="C44" s="2" t="s">
        <v>83</v>
      </c>
      <c r="D44" s="4" t="s">
        <v>8</v>
      </c>
      <c r="E44" s="3" t="s">
        <v>85</v>
      </c>
      <c r="F44" s="8"/>
    </row>
    <row r="45">
      <c r="A45" s="2" t="s">
        <v>86</v>
      </c>
      <c r="B45" s="2" t="s">
        <v>6</v>
      </c>
      <c r="C45" s="2" t="s">
        <v>87</v>
      </c>
      <c r="D45" s="2" t="s">
        <v>14</v>
      </c>
      <c r="E45" s="3" t="s">
        <v>88</v>
      </c>
    </row>
    <row r="46">
      <c r="A46" s="2" t="s">
        <v>86</v>
      </c>
      <c r="B46" s="2" t="s">
        <v>6</v>
      </c>
      <c r="C46" s="2" t="s">
        <v>89</v>
      </c>
      <c r="D46" s="2" t="s">
        <v>14</v>
      </c>
      <c r="E46" s="3" t="s">
        <v>90</v>
      </c>
      <c r="F46" s="9"/>
    </row>
    <row r="47">
      <c r="A47" s="2" t="s">
        <v>86</v>
      </c>
      <c r="B47" s="2" t="s">
        <v>6</v>
      </c>
      <c r="C47" s="2" t="s">
        <v>91</v>
      </c>
      <c r="D47" s="2" t="s">
        <v>14</v>
      </c>
      <c r="E47" s="6" t="s">
        <v>92</v>
      </c>
      <c r="F47" s="7"/>
    </row>
    <row r="48">
      <c r="A48" s="2" t="s">
        <v>86</v>
      </c>
      <c r="B48" s="2" t="s">
        <v>6</v>
      </c>
      <c r="C48" s="2" t="s">
        <v>89</v>
      </c>
      <c r="D48" s="2" t="s">
        <v>23</v>
      </c>
      <c r="E48" s="6" t="s">
        <v>93</v>
      </c>
    </row>
    <row r="49">
      <c r="A49" s="2" t="s">
        <v>86</v>
      </c>
      <c r="B49" s="2" t="s">
        <v>6</v>
      </c>
      <c r="C49" s="4" t="s">
        <v>94</v>
      </c>
      <c r="D49" s="4" t="s">
        <v>12</v>
      </c>
      <c r="E49" s="10" t="s">
        <v>95</v>
      </c>
    </row>
    <row r="50">
      <c r="A50" s="2" t="s">
        <v>86</v>
      </c>
      <c r="B50" s="2" t="s">
        <v>6</v>
      </c>
      <c r="C50" s="2" t="s">
        <v>96</v>
      </c>
      <c r="D50" s="4" t="s">
        <v>12</v>
      </c>
      <c r="E50" s="3" t="s">
        <v>97</v>
      </c>
    </row>
    <row r="51">
      <c r="A51" s="2" t="s">
        <v>86</v>
      </c>
      <c r="B51" s="2" t="s">
        <v>6</v>
      </c>
      <c r="C51" s="2" t="s">
        <v>98</v>
      </c>
      <c r="D51" s="2" t="s">
        <v>14</v>
      </c>
      <c r="E51" s="3" t="s">
        <v>99</v>
      </c>
    </row>
    <row r="52">
      <c r="A52" s="2" t="s">
        <v>86</v>
      </c>
      <c r="B52" s="2" t="s">
        <v>6</v>
      </c>
      <c r="C52" s="2" t="s">
        <v>98</v>
      </c>
      <c r="D52" s="2" t="s">
        <v>19</v>
      </c>
      <c r="E52" s="3" t="s">
        <v>100</v>
      </c>
    </row>
    <row r="53">
      <c r="A53" s="2" t="s">
        <v>86</v>
      </c>
      <c r="B53" s="2" t="s">
        <v>6</v>
      </c>
      <c r="C53" s="2" t="s">
        <v>98</v>
      </c>
      <c r="D53" s="4" t="s">
        <v>12</v>
      </c>
      <c r="E53" s="3" t="s">
        <v>101</v>
      </c>
    </row>
    <row r="54">
      <c r="A54" s="2" t="s">
        <v>86</v>
      </c>
      <c r="B54" s="2" t="s">
        <v>6</v>
      </c>
      <c r="C54" s="2" t="s">
        <v>98</v>
      </c>
      <c r="D54" s="2" t="s">
        <v>23</v>
      </c>
      <c r="E54" s="6" t="s">
        <v>102</v>
      </c>
    </row>
    <row r="55">
      <c r="A55" s="2" t="s">
        <v>86</v>
      </c>
      <c r="B55" s="2" t="s">
        <v>6</v>
      </c>
      <c r="C55" s="2" t="s">
        <v>98</v>
      </c>
      <c r="D55" s="2" t="s">
        <v>60</v>
      </c>
      <c r="E55" s="3" t="s">
        <v>103</v>
      </c>
    </row>
    <row r="56">
      <c r="A56" s="2" t="s">
        <v>86</v>
      </c>
      <c r="B56" s="2" t="s">
        <v>6</v>
      </c>
      <c r="C56" s="2" t="s">
        <v>104</v>
      </c>
      <c r="D56" s="4" t="s">
        <v>12</v>
      </c>
      <c r="E56" s="3" t="s">
        <v>105</v>
      </c>
    </row>
    <row r="57">
      <c r="A57" s="2" t="s">
        <v>86</v>
      </c>
      <c r="B57" s="2" t="s">
        <v>6</v>
      </c>
      <c r="C57" s="2" t="s">
        <v>106</v>
      </c>
      <c r="D57" s="4" t="s">
        <v>12</v>
      </c>
      <c r="E57" s="6" t="s">
        <v>107</v>
      </c>
    </row>
    <row r="58">
      <c r="A58" s="2" t="s">
        <v>86</v>
      </c>
      <c r="B58" s="2" t="s">
        <v>6</v>
      </c>
      <c r="C58" s="2" t="s">
        <v>108</v>
      </c>
      <c r="D58" s="2" t="s">
        <v>14</v>
      </c>
      <c r="E58" s="3" t="s">
        <v>109</v>
      </c>
    </row>
    <row r="59">
      <c r="A59" s="2" t="s">
        <v>86</v>
      </c>
      <c r="B59" s="2" t="s">
        <v>6</v>
      </c>
      <c r="C59" s="2" t="s">
        <v>108</v>
      </c>
      <c r="D59" s="2" t="s">
        <v>19</v>
      </c>
      <c r="E59" s="3" t="s">
        <v>110</v>
      </c>
    </row>
    <row r="60">
      <c r="A60" s="2" t="s">
        <v>86</v>
      </c>
      <c r="B60" s="2" t="s">
        <v>6</v>
      </c>
      <c r="C60" s="2" t="s">
        <v>108</v>
      </c>
      <c r="D60" s="4" t="s">
        <v>12</v>
      </c>
      <c r="E60" s="6" t="s">
        <v>111</v>
      </c>
    </row>
    <row r="61">
      <c r="A61" s="2" t="s">
        <v>86</v>
      </c>
      <c r="B61" s="2" t="s">
        <v>6</v>
      </c>
      <c r="C61" s="2" t="s">
        <v>108</v>
      </c>
      <c r="D61" s="2" t="s">
        <v>8</v>
      </c>
      <c r="E61" s="3" t="s">
        <v>112</v>
      </c>
    </row>
    <row r="62">
      <c r="A62" s="2" t="s">
        <v>86</v>
      </c>
      <c r="B62" s="2" t="s">
        <v>6</v>
      </c>
      <c r="C62" s="2" t="s">
        <v>108</v>
      </c>
      <c r="D62" s="2" t="s">
        <v>23</v>
      </c>
      <c r="E62" s="6" t="s">
        <v>113</v>
      </c>
    </row>
    <row r="63">
      <c r="A63" s="2" t="s">
        <v>86</v>
      </c>
      <c r="B63" s="2" t="s">
        <v>6</v>
      </c>
      <c r="C63" s="2" t="s">
        <v>114</v>
      </c>
      <c r="D63" s="4" t="s">
        <v>12</v>
      </c>
      <c r="E63" s="3" t="s">
        <v>115</v>
      </c>
    </row>
    <row r="64">
      <c r="A64" s="2" t="s">
        <v>86</v>
      </c>
      <c r="B64" s="2" t="s">
        <v>6</v>
      </c>
      <c r="C64" s="2" t="s">
        <v>116</v>
      </c>
      <c r="D64" s="2" t="s">
        <v>14</v>
      </c>
      <c r="E64" s="3" t="s">
        <v>117</v>
      </c>
    </row>
    <row r="65">
      <c r="A65" s="2" t="s">
        <v>86</v>
      </c>
      <c r="B65" s="2" t="s">
        <v>6</v>
      </c>
      <c r="C65" s="2" t="s">
        <v>116</v>
      </c>
      <c r="D65" s="2" t="s">
        <v>19</v>
      </c>
      <c r="E65" s="3" t="s">
        <v>118</v>
      </c>
    </row>
    <row r="66">
      <c r="A66" s="2" t="s">
        <v>86</v>
      </c>
      <c r="B66" s="2" t="s">
        <v>6</v>
      </c>
      <c r="C66" s="2" t="s">
        <v>116</v>
      </c>
      <c r="D66" s="4" t="s">
        <v>12</v>
      </c>
      <c r="E66" s="3" t="s">
        <v>119</v>
      </c>
    </row>
    <row r="67">
      <c r="A67" s="2" t="s">
        <v>86</v>
      </c>
      <c r="B67" s="2" t="s">
        <v>6</v>
      </c>
      <c r="C67" s="2" t="s">
        <v>116</v>
      </c>
      <c r="D67" s="2" t="s">
        <v>8</v>
      </c>
      <c r="E67" s="3" t="s">
        <v>120</v>
      </c>
    </row>
    <row r="68">
      <c r="A68" s="2" t="s">
        <v>86</v>
      </c>
      <c r="B68" s="2" t="s">
        <v>6</v>
      </c>
      <c r="C68" s="2" t="s">
        <v>121</v>
      </c>
      <c r="D68" s="2" t="s">
        <v>14</v>
      </c>
      <c r="E68" s="3" t="s">
        <v>122</v>
      </c>
    </row>
    <row r="69">
      <c r="A69" s="2" t="s">
        <v>86</v>
      </c>
      <c r="B69" s="2" t="s">
        <v>6</v>
      </c>
      <c r="C69" s="2" t="s">
        <v>121</v>
      </c>
      <c r="D69" s="2" t="s">
        <v>19</v>
      </c>
      <c r="E69" s="3" t="s">
        <v>123</v>
      </c>
    </row>
    <row r="70">
      <c r="A70" s="2" t="s">
        <v>86</v>
      </c>
      <c r="B70" s="2" t="s">
        <v>6</v>
      </c>
      <c r="C70" s="2" t="s">
        <v>121</v>
      </c>
      <c r="D70" s="4" t="s">
        <v>12</v>
      </c>
      <c r="E70" s="3" t="s">
        <v>124</v>
      </c>
    </row>
    <row r="71">
      <c r="A71" s="2" t="s">
        <v>86</v>
      </c>
      <c r="B71" s="2" t="s">
        <v>6</v>
      </c>
      <c r="C71" s="2" t="s">
        <v>121</v>
      </c>
      <c r="D71" s="4" t="s">
        <v>8</v>
      </c>
      <c r="E71" s="6" t="s">
        <v>125</v>
      </c>
      <c r="F71" s="8"/>
    </row>
    <row r="72">
      <c r="A72" s="2" t="s">
        <v>86</v>
      </c>
      <c r="B72" s="2" t="s">
        <v>6</v>
      </c>
      <c r="C72" s="4" t="s">
        <v>126</v>
      </c>
      <c r="D72" s="2" t="s">
        <v>14</v>
      </c>
      <c r="E72" s="3" t="s">
        <v>127</v>
      </c>
    </row>
    <row r="73">
      <c r="A73" s="2" t="s">
        <v>86</v>
      </c>
      <c r="B73" s="2" t="s">
        <v>6</v>
      </c>
      <c r="C73" s="4" t="s">
        <v>126</v>
      </c>
      <c r="D73" s="2" t="s">
        <v>19</v>
      </c>
      <c r="E73" s="3" t="s">
        <v>128</v>
      </c>
    </row>
    <row r="74">
      <c r="A74" s="2" t="s">
        <v>86</v>
      </c>
      <c r="B74" s="2" t="s">
        <v>6</v>
      </c>
      <c r="C74" s="4" t="s">
        <v>126</v>
      </c>
      <c r="D74" s="4" t="s">
        <v>12</v>
      </c>
      <c r="E74" s="3" t="s">
        <v>129</v>
      </c>
    </row>
    <row r="75">
      <c r="A75" s="2" t="s">
        <v>86</v>
      </c>
      <c r="B75" s="2" t="s">
        <v>6</v>
      </c>
      <c r="C75" s="2" t="s">
        <v>130</v>
      </c>
      <c r="D75" s="2" t="s">
        <v>14</v>
      </c>
      <c r="E75" s="3" t="s">
        <v>131</v>
      </c>
    </row>
    <row r="76">
      <c r="A76" s="2" t="s">
        <v>86</v>
      </c>
      <c r="B76" s="2" t="s">
        <v>6</v>
      </c>
      <c r="C76" s="2" t="s">
        <v>130</v>
      </c>
      <c r="D76" s="2" t="s">
        <v>19</v>
      </c>
      <c r="E76" s="3" t="s">
        <v>132</v>
      </c>
    </row>
    <row r="77">
      <c r="A77" s="2" t="s">
        <v>86</v>
      </c>
      <c r="B77" s="2" t="s">
        <v>6</v>
      </c>
      <c r="C77" s="2" t="s">
        <v>130</v>
      </c>
      <c r="D77" s="4" t="s">
        <v>12</v>
      </c>
      <c r="E77" s="6" t="s">
        <v>133</v>
      </c>
    </row>
    <row r="78">
      <c r="A78" s="2" t="s">
        <v>86</v>
      </c>
      <c r="B78" s="2" t="s">
        <v>6</v>
      </c>
      <c r="C78" s="2" t="s">
        <v>130</v>
      </c>
      <c r="D78" s="2" t="s">
        <v>8</v>
      </c>
      <c r="E78" s="3" t="s">
        <v>134</v>
      </c>
    </row>
    <row r="79">
      <c r="A79" s="2" t="s">
        <v>135</v>
      </c>
      <c r="B79" s="2" t="s">
        <v>6</v>
      </c>
      <c r="C79" s="2" t="s">
        <v>136</v>
      </c>
      <c r="D79" s="4" t="s">
        <v>12</v>
      </c>
      <c r="E79" s="6" t="s">
        <v>137</v>
      </c>
    </row>
    <row r="80">
      <c r="A80" s="2" t="s">
        <v>135</v>
      </c>
      <c r="B80" s="2" t="s">
        <v>6</v>
      </c>
      <c r="C80" s="2" t="s">
        <v>138</v>
      </c>
      <c r="D80" s="4" t="s">
        <v>12</v>
      </c>
      <c r="E80" s="3" t="s">
        <v>139</v>
      </c>
    </row>
    <row r="81">
      <c r="A81" s="2" t="s">
        <v>135</v>
      </c>
      <c r="B81" s="2" t="s">
        <v>6</v>
      </c>
      <c r="C81" s="2" t="s">
        <v>138</v>
      </c>
      <c r="D81" s="2" t="s">
        <v>8</v>
      </c>
      <c r="E81" s="3" t="s">
        <v>140</v>
      </c>
    </row>
    <row r="82">
      <c r="A82" s="2" t="s">
        <v>135</v>
      </c>
      <c r="B82" s="2" t="s">
        <v>6</v>
      </c>
      <c r="C82" s="2" t="s">
        <v>138</v>
      </c>
      <c r="D82" s="2" t="s">
        <v>23</v>
      </c>
      <c r="E82" s="6" t="s">
        <v>141</v>
      </c>
    </row>
    <row r="83">
      <c r="A83" s="2" t="s">
        <v>142</v>
      </c>
      <c r="B83" s="2" t="s">
        <v>6</v>
      </c>
      <c r="C83" s="2" t="s">
        <v>143</v>
      </c>
      <c r="D83" s="4" t="s">
        <v>14</v>
      </c>
      <c r="E83" s="6" t="s">
        <v>144</v>
      </c>
    </row>
    <row r="84">
      <c r="A84" s="2" t="s">
        <v>142</v>
      </c>
      <c r="B84" s="2" t="s">
        <v>6</v>
      </c>
      <c r="C84" s="2" t="s">
        <v>143</v>
      </c>
      <c r="D84" s="4" t="s">
        <v>12</v>
      </c>
      <c r="E84" s="3" t="s">
        <v>145</v>
      </c>
    </row>
    <row r="85">
      <c r="A85" s="2" t="s">
        <v>142</v>
      </c>
      <c r="B85" s="2" t="s">
        <v>6</v>
      </c>
      <c r="C85" s="2" t="s">
        <v>143</v>
      </c>
      <c r="D85" s="2" t="s">
        <v>8</v>
      </c>
      <c r="E85" s="3" t="s">
        <v>146</v>
      </c>
    </row>
    <row r="86">
      <c r="A86" s="2" t="s">
        <v>142</v>
      </c>
      <c r="B86" s="2" t="s">
        <v>6</v>
      </c>
      <c r="C86" s="2" t="s">
        <v>143</v>
      </c>
      <c r="D86" s="2" t="s">
        <v>23</v>
      </c>
      <c r="E86" s="6" t="s">
        <v>147</v>
      </c>
    </row>
    <row r="87">
      <c r="A87" s="2" t="s">
        <v>142</v>
      </c>
      <c r="B87" s="2" t="s">
        <v>6</v>
      </c>
      <c r="C87" s="2" t="s">
        <v>148</v>
      </c>
      <c r="D87" s="4" t="s">
        <v>12</v>
      </c>
      <c r="E87" s="3" t="s">
        <v>149</v>
      </c>
    </row>
    <row r="88">
      <c r="A88" s="2" t="s">
        <v>150</v>
      </c>
      <c r="B88" s="2" t="s">
        <v>151</v>
      </c>
      <c r="C88" s="2" t="s">
        <v>152</v>
      </c>
      <c r="D88" s="2" t="s">
        <v>14</v>
      </c>
      <c r="E88" s="3" t="s">
        <v>153</v>
      </c>
    </row>
    <row r="89">
      <c r="A89" s="2" t="s">
        <v>150</v>
      </c>
      <c r="B89" s="2" t="s">
        <v>151</v>
      </c>
      <c r="C89" s="2" t="s">
        <v>152</v>
      </c>
      <c r="D89" s="4" t="s">
        <v>12</v>
      </c>
      <c r="E89" s="3" t="s">
        <v>154</v>
      </c>
    </row>
    <row r="90">
      <c r="A90" s="2" t="s">
        <v>150</v>
      </c>
      <c r="B90" s="2" t="s">
        <v>155</v>
      </c>
      <c r="C90" s="2" t="s">
        <v>156</v>
      </c>
      <c r="D90" s="2" t="s">
        <v>14</v>
      </c>
      <c r="E90" s="3" t="s">
        <v>157</v>
      </c>
    </row>
    <row r="91">
      <c r="A91" s="2" t="s">
        <v>150</v>
      </c>
      <c r="B91" s="2" t="s">
        <v>155</v>
      </c>
      <c r="C91" s="2" t="s">
        <v>156</v>
      </c>
      <c r="D91" s="4" t="s">
        <v>12</v>
      </c>
      <c r="E91" s="3" t="s">
        <v>158</v>
      </c>
    </row>
    <row r="92">
      <c r="A92" s="2" t="s">
        <v>150</v>
      </c>
      <c r="B92" s="2" t="s">
        <v>6</v>
      </c>
      <c r="C92" s="2" t="s">
        <v>159</v>
      </c>
      <c r="D92" s="4" t="s">
        <v>12</v>
      </c>
      <c r="E92" s="6" t="s">
        <v>160</v>
      </c>
    </row>
    <row r="93">
      <c r="A93" s="2" t="s">
        <v>150</v>
      </c>
      <c r="B93" s="2" t="s">
        <v>161</v>
      </c>
      <c r="C93" s="2" t="s">
        <v>162</v>
      </c>
      <c r="D93" s="2" t="s">
        <v>14</v>
      </c>
      <c r="E93" s="3" t="s">
        <v>163</v>
      </c>
    </row>
    <row r="94">
      <c r="A94" s="2" t="s">
        <v>150</v>
      </c>
      <c r="B94" s="2" t="s">
        <v>161</v>
      </c>
      <c r="C94" s="2" t="s">
        <v>162</v>
      </c>
      <c r="D94" s="4" t="s">
        <v>12</v>
      </c>
      <c r="E94" s="3" t="s">
        <v>164</v>
      </c>
    </row>
    <row r="95">
      <c r="A95" s="2" t="s">
        <v>150</v>
      </c>
      <c r="B95" s="2" t="s">
        <v>161</v>
      </c>
      <c r="C95" s="2" t="s">
        <v>162</v>
      </c>
      <c r="D95" s="4" t="s">
        <v>12</v>
      </c>
      <c r="E95" s="3" t="s">
        <v>165</v>
      </c>
    </row>
    <row r="96">
      <c r="A96" s="2" t="s">
        <v>150</v>
      </c>
      <c r="B96" s="2" t="s">
        <v>161</v>
      </c>
      <c r="C96" s="2" t="s">
        <v>162</v>
      </c>
      <c r="D96" s="4" t="s">
        <v>12</v>
      </c>
      <c r="E96" s="3" t="s">
        <v>166</v>
      </c>
    </row>
    <row r="97">
      <c r="A97" s="2" t="s">
        <v>150</v>
      </c>
      <c r="B97" s="2" t="s">
        <v>6</v>
      </c>
      <c r="C97" s="2" t="s">
        <v>167</v>
      </c>
      <c r="D97" s="2" t="s">
        <v>60</v>
      </c>
      <c r="E97" s="3" t="s">
        <v>168</v>
      </c>
    </row>
    <row r="98">
      <c r="A98" s="2" t="s">
        <v>150</v>
      </c>
      <c r="B98" s="2" t="s">
        <v>6</v>
      </c>
      <c r="C98" s="2" t="s">
        <v>169</v>
      </c>
      <c r="D98" s="4" t="s">
        <v>12</v>
      </c>
      <c r="E98" s="3" t="s">
        <v>170</v>
      </c>
    </row>
    <row r="99">
      <c r="A99" s="2" t="s">
        <v>150</v>
      </c>
      <c r="B99" s="2" t="s">
        <v>171</v>
      </c>
      <c r="C99" s="2" t="s">
        <v>172</v>
      </c>
      <c r="D99" s="2" t="s">
        <v>14</v>
      </c>
      <c r="E99" s="3" t="s">
        <v>173</v>
      </c>
    </row>
    <row r="100">
      <c r="A100" s="2" t="s">
        <v>150</v>
      </c>
      <c r="B100" s="2" t="s">
        <v>171</v>
      </c>
      <c r="C100" s="2" t="s">
        <v>172</v>
      </c>
      <c r="D100" s="2" t="s">
        <v>19</v>
      </c>
      <c r="E100" s="3" t="s">
        <v>174</v>
      </c>
    </row>
    <row r="101">
      <c r="A101" s="2" t="s">
        <v>150</v>
      </c>
      <c r="B101" s="2" t="s">
        <v>171</v>
      </c>
      <c r="C101" s="2" t="s">
        <v>172</v>
      </c>
      <c r="D101" s="4" t="s">
        <v>12</v>
      </c>
      <c r="E101" s="3" t="s">
        <v>175</v>
      </c>
    </row>
    <row r="102">
      <c r="A102" s="2" t="s">
        <v>150</v>
      </c>
      <c r="B102" s="2" t="s">
        <v>6</v>
      </c>
      <c r="C102" s="2" t="s">
        <v>176</v>
      </c>
      <c r="D102" s="2" t="s">
        <v>14</v>
      </c>
      <c r="E102" s="3" t="s">
        <v>177</v>
      </c>
    </row>
    <row r="103">
      <c r="A103" s="2" t="s">
        <v>150</v>
      </c>
      <c r="B103" s="2" t="s">
        <v>6</v>
      </c>
      <c r="C103" s="2" t="s">
        <v>176</v>
      </c>
      <c r="D103" s="4" t="s">
        <v>12</v>
      </c>
      <c r="E103" s="3" t="s">
        <v>178</v>
      </c>
    </row>
    <row r="104">
      <c r="A104" s="2" t="s">
        <v>150</v>
      </c>
      <c r="B104" s="2" t="s">
        <v>179</v>
      </c>
      <c r="C104" s="2" t="s">
        <v>180</v>
      </c>
      <c r="D104" s="2" t="s">
        <v>14</v>
      </c>
      <c r="E104" s="3" t="s">
        <v>181</v>
      </c>
    </row>
    <row r="105">
      <c r="A105" s="2" t="s">
        <v>150</v>
      </c>
      <c r="B105" s="2" t="s">
        <v>179</v>
      </c>
      <c r="C105" s="2" t="s">
        <v>180</v>
      </c>
      <c r="D105" s="4" t="s">
        <v>12</v>
      </c>
      <c r="E105" s="3" t="s">
        <v>182</v>
      </c>
    </row>
    <row r="106">
      <c r="A106" s="2" t="s">
        <v>150</v>
      </c>
      <c r="B106" s="2" t="s">
        <v>179</v>
      </c>
      <c r="C106" s="2" t="s">
        <v>180</v>
      </c>
      <c r="D106" s="2" t="s">
        <v>14</v>
      </c>
      <c r="E106" s="3" t="s">
        <v>183</v>
      </c>
    </row>
    <row r="107">
      <c r="A107" s="2" t="s">
        <v>150</v>
      </c>
      <c r="B107" s="2" t="s">
        <v>179</v>
      </c>
      <c r="C107" s="2" t="s">
        <v>180</v>
      </c>
      <c r="D107" s="4" t="s">
        <v>12</v>
      </c>
      <c r="E107" s="3" t="s">
        <v>184</v>
      </c>
    </row>
    <row r="108">
      <c r="A108" s="2" t="s">
        <v>150</v>
      </c>
      <c r="B108" s="2" t="s">
        <v>6</v>
      </c>
      <c r="C108" s="2" t="s">
        <v>185</v>
      </c>
      <c r="D108" s="4" t="s">
        <v>12</v>
      </c>
      <c r="E108" s="3" t="s">
        <v>186</v>
      </c>
    </row>
    <row r="109">
      <c r="A109" s="2" t="s">
        <v>150</v>
      </c>
      <c r="B109" s="2" t="s">
        <v>6</v>
      </c>
      <c r="C109" s="2" t="s">
        <v>185</v>
      </c>
      <c r="D109" s="2" t="s">
        <v>14</v>
      </c>
      <c r="E109" s="3" t="s">
        <v>187</v>
      </c>
    </row>
    <row r="110">
      <c r="A110" s="2" t="s">
        <v>150</v>
      </c>
      <c r="B110" s="2" t="s">
        <v>6</v>
      </c>
      <c r="C110" s="2" t="s">
        <v>185</v>
      </c>
      <c r="D110" s="4" t="s">
        <v>12</v>
      </c>
      <c r="E110" s="3" t="s">
        <v>188</v>
      </c>
    </row>
    <row r="111">
      <c r="A111" s="2" t="s">
        <v>150</v>
      </c>
      <c r="B111" s="2" t="s">
        <v>6</v>
      </c>
      <c r="C111" s="2" t="s">
        <v>189</v>
      </c>
      <c r="D111" s="4" t="s">
        <v>12</v>
      </c>
      <c r="E111" s="3" t="s">
        <v>190</v>
      </c>
    </row>
    <row r="112">
      <c r="A112" s="2" t="s">
        <v>150</v>
      </c>
      <c r="B112" s="2" t="s">
        <v>6</v>
      </c>
      <c r="C112" s="2" t="s">
        <v>189</v>
      </c>
      <c r="D112" s="4" t="s">
        <v>12</v>
      </c>
      <c r="E112" s="3" t="s">
        <v>191</v>
      </c>
    </row>
    <row r="113">
      <c r="A113" s="2" t="s">
        <v>150</v>
      </c>
      <c r="B113" s="2" t="s">
        <v>6</v>
      </c>
      <c r="C113" s="2" t="s">
        <v>189</v>
      </c>
      <c r="D113" s="4" t="s">
        <v>12</v>
      </c>
      <c r="E113" s="3" t="s">
        <v>192</v>
      </c>
    </row>
    <row r="114">
      <c r="A114" s="2" t="s">
        <v>150</v>
      </c>
      <c r="B114" s="2" t="s">
        <v>6</v>
      </c>
      <c r="C114" s="2" t="s">
        <v>189</v>
      </c>
      <c r="D114" s="4" t="s">
        <v>12</v>
      </c>
      <c r="E114" s="3" t="s">
        <v>193</v>
      </c>
    </row>
    <row r="115">
      <c r="A115" s="2" t="s">
        <v>150</v>
      </c>
      <c r="B115" s="2" t="s">
        <v>6</v>
      </c>
      <c r="C115" s="2" t="s">
        <v>189</v>
      </c>
      <c r="D115" s="2" t="s">
        <v>23</v>
      </c>
      <c r="E115" s="3" t="s">
        <v>194</v>
      </c>
    </row>
    <row r="116">
      <c r="A116" s="2" t="s">
        <v>150</v>
      </c>
      <c r="B116" s="2" t="s">
        <v>6</v>
      </c>
      <c r="C116" s="2" t="s">
        <v>189</v>
      </c>
      <c r="D116" s="2" t="s">
        <v>23</v>
      </c>
      <c r="E116" s="6" t="s">
        <v>195</v>
      </c>
    </row>
    <row r="117">
      <c r="A117" s="2" t="s">
        <v>150</v>
      </c>
      <c r="B117" s="2" t="s">
        <v>6</v>
      </c>
      <c r="C117" s="2" t="s">
        <v>196</v>
      </c>
      <c r="D117" s="4" t="s">
        <v>12</v>
      </c>
      <c r="E117" s="3" t="s">
        <v>197</v>
      </c>
    </row>
    <row r="118">
      <c r="A118" s="2" t="s">
        <v>150</v>
      </c>
      <c r="B118" s="2" t="s">
        <v>6</v>
      </c>
      <c r="C118" s="2" t="s">
        <v>198</v>
      </c>
      <c r="D118" s="2" t="s">
        <v>14</v>
      </c>
      <c r="E118" s="3" t="s">
        <v>199</v>
      </c>
    </row>
    <row r="119">
      <c r="A119" s="2" t="s">
        <v>150</v>
      </c>
      <c r="B119" s="11" t="s">
        <v>6</v>
      </c>
      <c r="C119" s="2" t="s">
        <v>198</v>
      </c>
      <c r="D119" s="2" t="s">
        <v>60</v>
      </c>
      <c r="E119" s="3" t="s">
        <v>200</v>
      </c>
    </row>
    <row r="120">
      <c r="A120" s="2" t="s">
        <v>150</v>
      </c>
      <c r="B120" s="2" t="s">
        <v>6</v>
      </c>
      <c r="C120" s="2" t="s">
        <v>198</v>
      </c>
      <c r="D120" s="2" t="s">
        <v>19</v>
      </c>
      <c r="E120" s="3" t="s">
        <v>201</v>
      </c>
    </row>
    <row r="121">
      <c r="A121" s="2" t="s">
        <v>150</v>
      </c>
      <c r="B121" s="2" t="s">
        <v>6</v>
      </c>
      <c r="C121" s="2" t="s">
        <v>198</v>
      </c>
      <c r="D121" s="2" t="s">
        <v>8</v>
      </c>
      <c r="E121" s="3" t="s">
        <v>202</v>
      </c>
    </row>
    <row r="122">
      <c r="A122" s="2" t="s">
        <v>150</v>
      </c>
      <c r="B122" s="2" t="s">
        <v>6</v>
      </c>
      <c r="C122" s="2" t="s">
        <v>198</v>
      </c>
      <c r="D122" s="4" t="s">
        <v>12</v>
      </c>
      <c r="E122" s="3" t="s">
        <v>203</v>
      </c>
    </row>
    <row r="123">
      <c r="A123" s="2" t="s">
        <v>150</v>
      </c>
      <c r="B123" s="2" t="s">
        <v>6</v>
      </c>
      <c r="C123" s="2" t="s">
        <v>198</v>
      </c>
      <c r="D123" s="2" t="s">
        <v>23</v>
      </c>
      <c r="E123" s="3" t="s">
        <v>204</v>
      </c>
    </row>
    <row r="124">
      <c r="A124" s="2" t="s">
        <v>150</v>
      </c>
      <c r="B124" s="2" t="s">
        <v>6</v>
      </c>
      <c r="C124" s="2" t="s">
        <v>198</v>
      </c>
      <c r="D124" s="4" t="s">
        <v>205</v>
      </c>
      <c r="E124" s="3" t="s">
        <v>206</v>
      </c>
    </row>
    <row r="125">
      <c r="A125" s="2" t="s">
        <v>150</v>
      </c>
      <c r="B125" s="2" t="s">
        <v>6</v>
      </c>
      <c r="C125" s="2" t="s">
        <v>198</v>
      </c>
      <c r="D125" s="4" t="s">
        <v>207</v>
      </c>
      <c r="E125" s="3" t="s">
        <v>208</v>
      </c>
    </row>
    <row r="126">
      <c r="A126" s="2" t="s">
        <v>209</v>
      </c>
      <c r="B126" s="2" t="s">
        <v>6</v>
      </c>
      <c r="C126" s="2" t="s">
        <v>210</v>
      </c>
      <c r="D126" s="4" t="s">
        <v>12</v>
      </c>
      <c r="E126" s="3" t="s">
        <v>211</v>
      </c>
    </row>
    <row r="127">
      <c r="A127" s="2" t="s">
        <v>209</v>
      </c>
      <c r="B127" s="2" t="s">
        <v>6</v>
      </c>
      <c r="C127" s="2" t="s">
        <v>212</v>
      </c>
      <c r="D127" s="2" t="s">
        <v>14</v>
      </c>
      <c r="E127" s="3" t="s">
        <v>213</v>
      </c>
    </row>
    <row r="128">
      <c r="A128" s="2" t="s">
        <v>209</v>
      </c>
      <c r="B128" s="2" t="s">
        <v>6</v>
      </c>
      <c r="C128" s="2" t="s">
        <v>212</v>
      </c>
      <c r="D128" s="2" t="s">
        <v>23</v>
      </c>
      <c r="E128" s="12" t="s">
        <v>214</v>
      </c>
    </row>
    <row r="129">
      <c r="A129" s="2" t="s">
        <v>209</v>
      </c>
      <c r="B129" s="2" t="s">
        <v>6</v>
      </c>
      <c r="C129" s="2" t="s">
        <v>212</v>
      </c>
      <c r="D129" s="4" t="s">
        <v>8</v>
      </c>
      <c r="E129" s="5" t="s">
        <v>215</v>
      </c>
    </row>
    <row r="130">
      <c r="A130" s="2" t="s">
        <v>209</v>
      </c>
      <c r="B130" s="2" t="s">
        <v>6</v>
      </c>
      <c r="C130" s="2" t="s">
        <v>216</v>
      </c>
      <c r="D130" s="2" t="s">
        <v>14</v>
      </c>
      <c r="E130" s="3" t="s">
        <v>217</v>
      </c>
    </row>
    <row r="131">
      <c r="A131" s="2" t="s">
        <v>209</v>
      </c>
      <c r="B131" s="2" t="s">
        <v>6</v>
      </c>
      <c r="C131" s="2" t="s">
        <v>218</v>
      </c>
      <c r="D131" s="2" t="s">
        <v>14</v>
      </c>
      <c r="E131" s="3" t="s">
        <v>219</v>
      </c>
    </row>
    <row r="132">
      <c r="A132" s="2" t="s">
        <v>209</v>
      </c>
      <c r="B132" s="2" t="s">
        <v>6</v>
      </c>
      <c r="C132" s="2" t="s">
        <v>218</v>
      </c>
      <c r="D132" s="4" t="s">
        <v>12</v>
      </c>
      <c r="E132" s="3" t="s">
        <v>220</v>
      </c>
    </row>
    <row r="133">
      <c r="A133" s="2" t="s">
        <v>209</v>
      </c>
      <c r="B133" s="2" t="s">
        <v>6</v>
      </c>
      <c r="C133" s="2" t="s">
        <v>218</v>
      </c>
      <c r="D133" s="4" t="s">
        <v>19</v>
      </c>
      <c r="E133" s="6" t="s">
        <v>221</v>
      </c>
    </row>
    <row r="134">
      <c r="A134" s="2" t="s">
        <v>209</v>
      </c>
      <c r="B134" s="2" t="s">
        <v>6</v>
      </c>
      <c r="C134" s="2" t="s">
        <v>222</v>
      </c>
      <c r="D134" s="2" t="s">
        <v>14</v>
      </c>
      <c r="E134" s="3" t="s">
        <v>223</v>
      </c>
    </row>
    <row r="135">
      <c r="A135" s="2" t="s">
        <v>209</v>
      </c>
      <c r="B135" s="2" t="s">
        <v>6</v>
      </c>
      <c r="C135" s="2" t="s">
        <v>222</v>
      </c>
      <c r="D135" s="4" t="s">
        <v>12</v>
      </c>
      <c r="E135" s="3" t="s">
        <v>224</v>
      </c>
    </row>
    <row r="136">
      <c r="A136" s="2" t="s">
        <v>209</v>
      </c>
      <c r="B136" s="2" t="s">
        <v>6</v>
      </c>
      <c r="C136" s="2" t="s">
        <v>222</v>
      </c>
      <c r="D136" s="2" t="s">
        <v>19</v>
      </c>
      <c r="E136" s="3" t="s">
        <v>225</v>
      </c>
    </row>
    <row r="137">
      <c r="A137" s="2" t="s">
        <v>209</v>
      </c>
      <c r="B137" s="2" t="s">
        <v>6</v>
      </c>
      <c r="C137" s="2" t="s">
        <v>226</v>
      </c>
      <c r="D137" s="2" t="s">
        <v>8</v>
      </c>
      <c r="E137" s="3" t="s">
        <v>227</v>
      </c>
    </row>
    <row r="138">
      <c r="A138" s="2" t="s">
        <v>228</v>
      </c>
      <c r="B138" s="2" t="s">
        <v>6</v>
      </c>
      <c r="C138" s="2" t="s">
        <v>229</v>
      </c>
      <c r="D138" s="2" t="s">
        <v>14</v>
      </c>
      <c r="E138" s="3" t="s">
        <v>230</v>
      </c>
    </row>
    <row r="139">
      <c r="A139" s="2" t="s">
        <v>228</v>
      </c>
      <c r="B139" s="2" t="s">
        <v>6</v>
      </c>
      <c r="C139" s="2" t="s">
        <v>229</v>
      </c>
      <c r="D139" s="2" t="s">
        <v>19</v>
      </c>
      <c r="E139" s="3" t="s">
        <v>231</v>
      </c>
    </row>
    <row r="140">
      <c r="A140" s="2" t="s">
        <v>228</v>
      </c>
      <c r="B140" s="2" t="s">
        <v>6</v>
      </c>
      <c r="C140" s="2" t="s">
        <v>229</v>
      </c>
      <c r="D140" s="4" t="s">
        <v>12</v>
      </c>
      <c r="E140" s="3" t="s">
        <v>232</v>
      </c>
    </row>
    <row r="141">
      <c r="A141" s="2" t="s">
        <v>233</v>
      </c>
      <c r="B141" s="2" t="s">
        <v>6</v>
      </c>
      <c r="C141" s="2" t="s">
        <v>234</v>
      </c>
      <c r="D141" s="4" t="s">
        <v>12</v>
      </c>
      <c r="E141" s="3" t="s">
        <v>235</v>
      </c>
    </row>
    <row r="142">
      <c r="A142" s="2" t="s">
        <v>233</v>
      </c>
      <c r="B142" s="2" t="s">
        <v>6</v>
      </c>
      <c r="C142" s="2" t="s">
        <v>236</v>
      </c>
      <c r="D142" s="4" t="s">
        <v>12</v>
      </c>
      <c r="E142" s="3" t="s">
        <v>237</v>
      </c>
    </row>
    <row r="143">
      <c r="A143" s="2" t="s">
        <v>233</v>
      </c>
      <c r="B143" s="2" t="s">
        <v>6</v>
      </c>
      <c r="C143" s="2" t="s">
        <v>236</v>
      </c>
      <c r="D143" s="4" t="s">
        <v>14</v>
      </c>
      <c r="E143" s="6" t="s">
        <v>238</v>
      </c>
      <c r="F143" s="8"/>
    </row>
    <row r="144">
      <c r="A144" s="2" t="s">
        <v>239</v>
      </c>
      <c r="B144" s="2" t="s">
        <v>6</v>
      </c>
      <c r="C144" s="2" t="s">
        <v>240</v>
      </c>
      <c r="D144" s="2" t="s">
        <v>8</v>
      </c>
      <c r="E144" s="3" t="s">
        <v>241</v>
      </c>
    </row>
    <row r="145">
      <c r="A145" s="2" t="s">
        <v>239</v>
      </c>
      <c r="B145" s="2" t="s">
        <v>6</v>
      </c>
      <c r="C145" s="2" t="s">
        <v>242</v>
      </c>
      <c r="D145" s="4" t="s">
        <v>12</v>
      </c>
      <c r="E145" s="3" t="s">
        <v>243</v>
      </c>
      <c r="F145" s="8"/>
    </row>
    <row r="146">
      <c r="A146" s="2" t="s">
        <v>239</v>
      </c>
      <c r="B146" s="2" t="s">
        <v>6</v>
      </c>
      <c r="C146" s="2" t="s">
        <v>244</v>
      </c>
      <c r="D146" s="2" t="s">
        <v>14</v>
      </c>
      <c r="E146" s="3" t="s">
        <v>245</v>
      </c>
    </row>
    <row r="147">
      <c r="A147" s="2" t="s">
        <v>239</v>
      </c>
      <c r="B147" s="2" t="s">
        <v>6</v>
      </c>
      <c r="C147" s="2" t="s">
        <v>244</v>
      </c>
      <c r="D147" s="2" t="s">
        <v>8</v>
      </c>
      <c r="E147" s="3" t="s">
        <v>246</v>
      </c>
    </row>
    <row r="148">
      <c r="A148" s="2" t="s">
        <v>247</v>
      </c>
      <c r="B148" s="2" t="s">
        <v>6</v>
      </c>
      <c r="C148" s="2" t="s">
        <v>248</v>
      </c>
      <c r="D148" s="2" t="s">
        <v>14</v>
      </c>
      <c r="E148" s="6" t="s">
        <v>249</v>
      </c>
    </row>
    <row r="149">
      <c r="A149" s="2" t="s">
        <v>247</v>
      </c>
      <c r="B149" s="2" t="s">
        <v>6</v>
      </c>
      <c r="C149" s="2" t="s">
        <v>248</v>
      </c>
      <c r="D149" s="2" t="s">
        <v>8</v>
      </c>
      <c r="E149" s="3" t="s">
        <v>250</v>
      </c>
    </row>
    <row r="150">
      <c r="A150" s="2" t="s">
        <v>247</v>
      </c>
      <c r="B150" s="2" t="s">
        <v>6</v>
      </c>
      <c r="C150" s="2" t="s">
        <v>248</v>
      </c>
      <c r="D150" s="4" t="s">
        <v>12</v>
      </c>
      <c r="E150" s="3" t="s">
        <v>251</v>
      </c>
    </row>
    <row r="151">
      <c r="A151" s="2" t="s">
        <v>247</v>
      </c>
      <c r="B151" s="2" t="s">
        <v>6</v>
      </c>
      <c r="C151" s="2" t="s">
        <v>248</v>
      </c>
      <c r="D151" s="4" t="s">
        <v>60</v>
      </c>
      <c r="E151" s="6" t="s">
        <v>252</v>
      </c>
    </row>
    <row r="152">
      <c r="A152" s="2" t="s">
        <v>247</v>
      </c>
      <c r="B152" s="2" t="s">
        <v>6</v>
      </c>
      <c r="C152" s="2" t="s">
        <v>253</v>
      </c>
      <c r="D152" s="4" t="s">
        <v>12</v>
      </c>
      <c r="E152" s="3" t="s">
        <v>254</v>
      </c>
    </row>
    <row r="153">
      <c r="A153" s="2" t="s">
        <v>255</v>
      </c>
      <c r="B153" s="2" t="s">
        <v>6</v>
      </c>
      <c r="C153" s="2" t="s">
        <v>256</v>
      </c>
      <c r="D153" s="2" t="s">
        <v>14</v>
      </c>
      <c r="E153" s="3" t="s">
        <v>257</v>
      </c>
    </row>
    <row r="154">
      <c r="A154" s="2" t="s">
        <v>255</v>
      </c>
      <c r="B154" s="2" t="s">
        <v>6</v>
      </c>
      <c r="C154" s="2" t="s">
        <v>256</v>
      </c>
      <c r="D154" s="2" t="s">
        <v>19</v>
      </c>
      <c r="E154" s="3" t="s">
        <v>258</v>
      </c>
      <c r="F154" s="8"/>
    </row>
    <row r="155">
      <c r="A155" s="2" t="s">
        <v>255</v>
      </c>
      <c r="B155" s="2" t="s">
        <v>6</v>
      </c>
      <c r="C155" s="2" t="s">
        <v>256</v>
      </c>
      <c r="D155" s="4" t="s">
        <v>12</v>
      </c>
      <c r="E155" s="3" t="s">
        <v>259</v>
      </c>
    </row>
    <row r="156">
      <c r="A156" s="2" t="s">
        <v>255</v>
      </c>
      <c r="B156" s="2" t="s">
        <v>6</v>
      </c>
      <c r="C156" s="2" t="s">
        <v>260</v>
      </c>
      <c r="D156" s="4" t="s">
        <v>12</v>
      </c>
      <c r="E156" s="3" t="s">
        <v>261</v>
      </c>
    </row>
    <row r="157">
      <c r="A157" s="2" t="s">
        <v>255</v>
      </c>
      <c r="B157" s="2" t="s">
        <v>6</v>
      </c>
      <c r="C157" s="2" t="s">
        <v>260</v>
      </c>
      <c r="D157" s="2" t="s">
        <v>19</v>
      </c>
      <c r="E157" s="3" t="s">
        <v>262</v>
      </c>
    </row>
    <row r="158">
      <c r="A158" s="2" t="s">
        <v>263</v>
      </c>
      <c r="B158" s="2" t="s">
        <v>6</v>
      </c>
      <c r="C158" s="2" t="s">
        <v>264</v>
      </c>
      <c r="D158" s="2" t="s">
        <v>14</v>
      </c>
      <c r="E158" s="3" t="s">
        <v>265</v>
      </c>
    </row>
    <row r="159">
      <c r="A159" s="2" t="s">
        <v>263</v>
      </c>
      <c r="B159" s="2" t="s">
        <v>6</v>
      </c>
      <c r="C159" s="2" t="s">
        <v>264</v>
      </c>
      <c r="D159" s="4" t="s">
        <v>12</v>
      </c>
      <c r="E159" s="10" t="s">
        <v>266</v>
      </c>
    </row>
    <row r="160">
      <c r="A160" s="2" t="s">
        <v>263</v>
      </c>
      <c r="B160" s="2" t="s">
        <v>6</v>
      </c>
      <c r="C160" s="2" t="s">
        <v>264</v>
      </c>
      <c r="D160" s="2" t="s">
        <v>23</v>
      </c>
      <c r="E160" s="3" t="s">
        <v>267</v>
      </c>
    </row>
    <row r="161">
      <c r="A161" s="2" t="s">
        <v>263</v>
      </c>
      <c r="B161" s="2" t="s">
        <v>6</v>
      </c>
      <c r="C161" s="2" t="s">
        <v>264</v>
      </c>
      <c r="D161" s="4" t="s">
        <v>19</v>
      </c>
      <c r="E161" s="10" t="s">
        <v>268</v>
      </c>
    </row>
    <row r="162">
      <c r="A162" s="2" t="s">
        <v>263</v>
      </c>
      <c r="B162" s="2" t="s">
        <v>6</v>
      </c>
      <c r="C162" s="4" t="s">
        <v>269</v>
      </c>
      <c r="D162" s="4" t="s">
        <v>12</v>
      </c>
      <c r="E162" s="10" t="s">
        <v>270</v>
      </c>
    </row>
    <row r="163">
      <c r="A163" s="2" t="s">
        <v>263</v>
      </c>
      <c r="B163" s="2" t="s">
        <v>6</v>
      </c>
      <c r="C163" s="4" t="s">
        <v>269</v>
      </c>
      <c r="D163" s="4" t="s">
        <v>19</v>
      </c>
      <c r="E163" s="10" t="s">
        <v>271</v>
      </c>
    </row>
    <row r="164">
      <c r="A164" s="2" t="s">
        <v>263</v>
      </c>
      <c r="B164" s="2" t="s">
        <v>6</v>
      </c>
      <c r="C164" s="2" t="s">
        <v>272</v>
      </c>
      <c r="D164" s="2" t="s">
        <v>14</v>
      </c>
      <c r="E164" s="3" t="s">
        <v>273</v>
      </c>
      <c r="F164" s="8"/>
    </row>
    <row r="165">
      <c r="A165" s="2" t="s">
        <v>263</v>
      </c>
      <c r="B165" s="2" t="s">
        <v>6</v>
      </c>
      <c r="C165" s="2" t="s">
        <v>274</v>
      </c>
      <c r="D165" s="2" t="s">
        <v>8</v>
      </c>
      <c r="E165" s="3" t="s">
        <v>275</v>
      </c>
    </row>
    <row r="166">
      <c r="A166" s="2" t="s">
        <v>276</v>
      </c>
      <c r="B166" s="2" t="s">
        <v>6</v>
      </c>
      <c r="C166" s="2" t="s">
        <v>277</v>
      </c>
      <c r="D166" s="2" t="s">
        <v>8</v>
      </c>
      <c r="E166" s="3" t="s">
        <v>278</v>
      </c>
    </row>
    <row r="167">
      <c r="A167" s="2" t="s">
        <v>279</v>
      </c>
      <c r="B167" s="2" t="s">
        <v>6</v>
      </c>
      <c r="C167" s="2" t="s">
        <v>280</v>
      </c>
      <c r="D167" s="2" t="s">
        <v>8</v>
      </c>
      <c r="E167" s="10" t="s">
        <v>281</v>
      </c>
    </row>
    <row r="168">
      <c r="A168" s="2" t="s">
        <v>279</v>
      </c>
      <c r="B168" s="2" t="s">
        <v>6</v>
      </c>
      <c r="C168" s="2" t="s">
        <v>280</v>
      </c>
      <c r="D168" s="2" t="s">
        <v>14</v>
      </c>
      <c r="E168" s="3" t="s">
        <v>282</v>
      </c>
    </row>
    <row r="169">
      <c r="A169" s="2" t="s">
        <v>279</v>
      </c>
      <c r="B169" s="2" t="s">
        <v>6</v>
      </c>
      <c r="C169" s="2" t="s">
        <v>280</v>
      </c>
      <c r="D169" s="4" t="s">
        <v>283</v>
      </c>
      <c r="E169" s="6" t="s">
        <v>284</v>
      </c>
    </row>
    <row r="170">
      <c r="A170" s="2" t="s">
        <v>279</v>
      </c>
      <c r="B170" s="2" t="s">
        <v>6</v>
      </c>
      <c r="C170" s="2" t="s">
        <v>280</v>
      </c>
      <c r="D170" s="2" t="s">
        <v>19</v>
      </c>
      <c r="E170" s="3" t="s">
        <v>285</v>
      </c>
    </row>
    <row r="171">
      <c r="A171" s="2" t="s">
        <v>279</v>
      </c>
      <c r="B171" s="2" t="s">
        <v>6</v>
      </c>
      <c r="C171" s="2" t="s">
        <v>280</v>
      </c>
      <c r="D171" s="4" t="s">
        <v>23</v>
      </c>
      <c r="E171" s="6" t="s">
        <v>286</v>
      </c>
    </row>
    <row r="172">
      <c r="A172" s="2" t="s">
        <v>287</v>
      </c>
      <c r="B172" s="2" t="s">
        <v>6</v>
      </c>
      <c r="C172" s="2" t="s">
        <v>288</v>
      </c>
      <c r="D172" s="2" t="s">
        <v>14</v>
      </c>
      <c r="E172" s="3" t="s">
        <v>289</v>
      </c>
    </row>
    <row r="173">
      <c r="A173" s="2" t="s">
        <v>287</v>
      </c>
      <c r="B173" s="2" t="s">
        <v>6</v>
      </c>
      <c r="C173" s="2" t="s">
        <v>288</v>
      </c>
      <c r="D173" s="2" t="s">
        <v>60</v>
      </c>
      <c r="E173" s="3" t="s">
        <v>290</v>
      </c>
    </row>
    <row r="174">
      <c r="A174" s="2" t="s">
        <v>287</v>
      </c>
      <c r="B174" s="2" t="s">
        <v>6</v>
      </c>
      <c r="C174" s="2" t="s">
        <v>288</v>
      </c>
      <c r="D174" s="2" t="s">
        <v>23</v>
      </c>
      <c r="E174" s="3" t="s">
        <v>291</v>
      </c>
      <c r="F174" s="8"/>
    </row>
    <row r="175">
      <c r="A175" s="2" t="s">
        <v>287</v>
      </c>
      <c r="B175" s="2" t="s">
        <v>6</v>
      </c>
      <c r="C175" s="2" t="s">
        <v>288</v>
      </c>
      <c r="D175" s="4" t="s">
        <v>12</v>
      </c>
      <c r="E175" s="3" t="s">
        <v>292</v>
      </c>
    </row>
    <row r="176">
      <c r="A176" s="2" t="s">
        <v>287</v>
      </c>
      <c r="B176" s="2" t="s">
        <v>6</v>
      </c>
      <c r="C176" s="2" t="s">
        <v>288</v>
      </c>
      <c r="D176" s="2" t="s">
        <v>19</v>
      </c>
      <c r="E176" s="3" t="s">
        <v>293</v>
      </c>
    </row>
    <row r="177">
      <c r="A177" s="2" t="s">
        <v>287</v>
      </c>
      <c r="B177" s="2" t="s">
        <v>6</v>
      </c>
      <c r="C177" s="2" t="s">
        <v>288</v>
      </c>
      <c r="D177" s="2" t="s">
        <v>8</v>
      </c>
      <c r="E177" s="3" t="s">
        <v>294</v>
      </c>
    </row>
    <row r="178">
      <c r="A178" s="2" t="s">
        <v>287</v>
      </c>
      <c r="B178" s="2" t="s">
        <v>6</v>
      </c>
      <c r="C178" s="2" t="s">
        <v>295</v>
      </c>
      <c r="D178" s="2" t="s">
        <v>14</v>
      </c>
      <c r="E178" s="3" t="s">
        <v>296</v>
      </c>
    </row>
    <row r="179">
      <c r="A179" s="2" t="s">
        <v>287</v>
      </c>
      <c r="B179" s="2" t="s">
        <v>6</v>
      </c>
      <c r="C179" s="2" t="s">
        <v>295</v>
      </c>
      <c r="D179" s="4" t="s">
        <v>12</v>
      </c>
      <c r="E179" s="3" t="s">
        <v>297</v>
      </c>
    </row>
    <row r="180">
      <c r="A180" s="2" t="s">
        <v>298</v>
      </c>
      <c r="B180" s="2" t="s">
        <v>6</v>
      </c>
      <c r="C180" s="2" t="s">
        <v>299</v>
      </c>
      <c r="D180" s="4" t="s">
        <v>12</v>
      </c>
      <c r="E180" s="6" t="s">
        <v>300</v>
      </c>
    </row>
    <row r="181">
      <c r="A181" s="2" t="s">
        <v>301</v>
      </c>
      <c r="B181" s="2" t="s">
        <v>6</v>
      </c>
      <c r="C181" s="2" t="s">
        <v>302</v>
      </c>
      <c r="D181" s="4" t="s">
        <v>12</v>
      </c>
      <c r="E181" s="3" t="s">
        <v>303</v>
      </c>
    </row>
    <row r="182">
      <c r="A182" s="2" t="s">
        <v>301</v>
      </c>
      <c r="B182" s="2" t="s">
        <v>6</v>
      </c>
      <c r="C182" s="2" t="s">
        <v>304</v>
      </c>
      <c r="D182" s="4" t="s">
        <v>12</v>
      </c>
      <c r="E182" s="3" t="s">
        <v>305</v>
      </c>
    </row>
    <row r="183">
      <c r="A183" s="2" t="s">
        <v>306</v>
      </c>
      <c r="B183" s="2" t="s">
        <v>6</v>
      </c>
      <c r="C183" s="2" t="s">
        <v>307</v>
      </c>
      <c r="D183" s="4" t="s">
        <v>12</v>
      </c>
      <c r="E183" s="6" t="s">
        <v>308</v>
      </c>
    </row>
    <row r="184">
      <c r="A184" s="2" t="s">
        <v>306</v>
      </c>
      <c r="B184" s="2" t="s">
        <v>6</v>
      </c>
      <c r="C184" s="2" t="s">
        <v>309</v>
      </c>
      <c r="D184" s="2" t="s">
        <v>14</v>
      </c>
      <c r="E184" s="3" t="s">
        <v>310</v>
      </c>
    </row>
    <row r="185">
      <c r="A185" s="2" t="s">
        <v>306</v>
      </c>
      <c r="B185" s="2" t="s">
        <v>6</v>
      </c>
      <c r="C185" s="2" t="s">
        <v>309</v>
      </c>
      <c r="D185" s="2" t="s">
        <v>60</v>
      </c>
      <c r="E185" s="6" t="s">
        <v>311</v>
      </c>
    </row>
    <row r="186">
      <c r="A186" s="2" t="s">
        <v>306</v>
      </c>
      <c r="B186" s="2" t="s">
        <v>6</v>
      </c>
      <c r="C186" s="2" t="s">
        <v>309</v>
      </c>
      <c r="D186" s="2" t="s">
        <v>19</v>
      </c>
      <c r="E186" s="3" t="s">
        <v>312</v>
      </c>
    </row>
    <row r="187">
      <c r="A187" s="2" t="s">
        <v>306</v>
      </c>
      <c r="B187" s="2" t="s">
        <v>6</v>
      </c>
      <c r="C187" s="2" t="s">
        <v>309</v>
      </c>
      <c r="D187" s="4" t="s">
        <v>12</v>
      </c>
      <c r="E187" s="3" t="s">
        <v>313</v>
      </c>
    </row>
    <row r="188">
      <c r="A188" s="2" t="s">
        <v>314</v>
      </c>
      <c r="B188" s="2" t="s">
        <v>6</v>
      </c>
      <c r="C188" s="2" t="s">
        <v>315</v>
      </c>
      <c r="D188" s="2" t="s">
        <v>14</v>
      </c>
      <c r="E188" s="3" t="s">
        <v>316</v>
      </c>
    </row>
    <row r="189">
      <c r="A189" s="2" t="s">
        <v>314</v>
      </c>
      <c r="B189" s="2" t="s">
        <v>6</v>
      </c>
      <c r="C189" s="2" t="s">
        <v>315</v>
      </c>
      <c r="D189" s="2" t="s">
        <v>19</v>
      </c>
      <c r="E189" s="3" t="s">
        <v>317</v>
      </c>
    </row>
    <row r="190">
      <c r="A190" s="2" t="s">
        <v>314</v>
      </c>
      <c r="B190" s="2" t="s">
        <v>6</v>
      </c>
      <c r="C190" s="2" t="s">
        <v>315</v>
      </c>
      <c r="D190" s="4" t="s">
        <v>60</v>
      </c>
      <c r="E190" s="3" t="s">
        <v>318</v>
      </c>
    </row>
    <row r="191">
      <c r="A191" s="2" t="s">
        <v>314</v>
      </c>
      <c r="B191" s="2" t="s">
        <v>6</v>
      </c>
      <c r="C191" s="2" t="s">
        <v>315</v>
      </c>
      <c r="D191" s="2" t="s">
        <v>283</v>
      </c>
      <c r="E191" s="3" t="s">
        <v>319</v>
      </c>
    </row>
    <row r="192">
      <c r="A192" s="2" t="s">
        <v>314</v>
      </c>
      <c r="B192" s="2" t="s">
        <v>6</v>
      </c>
      <c r="C192" s="2" t="s">
        <v>315</v>
      </c>
      <c r="D192" s="4" t="s">
        <v>12</v>
      </c>
      <c r="E192" s="6" t="s">
        <v>320</v>
      </c>
    </row>
    <row r="193">
      <c r="A193" s="2" t="s">
        <v>314</v>
      </c>
      <c r="B193" s="2" t="s">
        <v>6</v>
      </c>
      <c r="C193" s="2" t="s">
        <v>315</v>
      </c>
      <c r="D193" s="2" t="s">
        <v>8</v>
      </c>
      <c r="E193" s="3" t="s">
        <v>321</v>
      </c>
    </row>
    <row r="194">
      <c r="A194" s="2" t="s">
        <v>314</v>
      </c>
      <c r="B194" s="2" t="s">
        <v>6</v>
      </c>
      <c r="C194" s="2" t="s">
        <v>322</v>
      </c>
      <c r="D194" s="4" t="s">
        <v>12</v>
      </c>
      <c r="E194" s="3" t="s">
        <v>323</v>
      </c>
    </row>
    <row r="195">
      <c r="A195" s="2" t="s">
        <v>324</v>
      </c>
      <c r="B195" s="2" t="s">
        <v>6</v>
      </c>
      <c r="C195" s="2" t="s">
        <v>325</v>
      </c>
      <c r="D195" s="2" t="s">
        <v>8</v>
      </c>
      <c r="E195" s="3" t="s">
        <v>326</v>
      </c>
    </row>
    <row r="196">
      <c r="A196" s="2" t="s">
        <v>324</v>
      </c>
      <c r="B196" s="2" t="s">
        <v>6</v>
      </c>
      <c r="C196" s="2" t="s">
        <v>327</v>
      </c>
      <c r="D196" s="4" t="s">
        <v>12</v>
      </c>
      <c r="E196" s="6" t="s">
        <v>328</v>
      </c>
    </row>
    <row r="197">
      <c r="A197" s="2" t="s">
        <v>324</v>
      </c>
      <c r="B197" s="2" t="s">
        <v>6</v>
      </c>
      <c r="C197" s="2" t="s">
        <v>329</v>
      </c>
      <c r="D197" s="4" t="s">
        <v>12</v>
      </c>
      <c r="E197" s="3" t="s">
        <v>330</v>
      </c>
    </row>
    <row r="198">
      <c r="A198" s="2" t="s">
        <v>324</v>
      </c>
      <c r="B198" s="2" t="s">
        <v>6</v>
      </c>
      <c r="C198" s="2" t="s">
        <v>329</v>
      </c>
      <c r="D198" s="2" t="s">
        <v>14</v>
      </c>
      <c r="E198" s="3" t="s">
        <v>331</v>
      </c>
    </row>
    <row r="199">
      <c r="A199" s="2" t="s">
        <v>324</v>
      </c>
      <c r="B199" s="2" t="s">
        <v>6</v>
      </c>
      <c r="C199" s="2" t="s">
        <v>329</v>
      </c>
      <c r="D199" s="2" t="s">
        <v>8</v>
      </c>
      <c r="E199" s="3" t="s">
        <v>332</v>
      </c>
    </row>
    <row r="200">
      <c r="A200" s="2" t="s">
        <v>324</v>
      </c>
      <c r="B200" s="2" t="s">
        <v>6</v>
      </c>
      <c r="C200" s="2" t="s">
        <v>333</v>
      </c>
      <c r="D200" s="4" t="s">
        <v>12</v>
      </c>
      <c r="E200" s="3" t="s">
        <v>334</v>
      </c>
    </row>
    <row r="201">
      <c r="A201" s="2" t="s">
        <v>324</v>
      </c>
      <c r="B201" s="2" t="s">
        <v>6</v>
      </c>
      <c r="C201" s="2" t="s">
        <v>333</v>
      </c>
      <c r="D201" s="2" t="s">
        <v>19</v>
      </c>
      <c r="E201" s="3" t="s">
        <v>335</v>
      </c>
    </row>
    <row r="202">
      <c r="A202" s="2" t="s">
        <v>324</v>
      </c>
      <c r="B202" s="2" t="s">
        <v>6</v>
      </c>
      <c r="C202" s="2" t="s">
        <v>336</v>
      </c>
      <c r="D202" s="4" t="s">
        <v>12</v>
      </c>
      <c r="E202" s="3" t="s">
        <v>337</v>
      </c>
    </row>
    <row r="203">
      <c r="A203" s="2" t="s">
        <v>324</v>
      </c>
      <c r="B203" s="2" t="s">
        <v>6</v>
      </c>
      <c r="C203" s="2" t="s">
        <v>338</v>
      </c>
      <c r="D203" s="4" t="s">
        <v>12</v>
      </c>
      <c r="E203" s="3" t="s">
        <v>339</v>
      </c>
    </row>
    <row r="204">
      <c r="A204" s="2" t="s">
        <v>324</v>
      </c>
      <c r="B204" s="2" t="s">
        <v>6</v>
      </c>
      <c r="C204" s="2" t="s">
        <v>340</v>
      </c>
      <c r="D204" s="4" t="s">
        <v>12</v>
      </c>
      <c r="E204" s="3" t="s">
        <v>341</v>
      </c>
    </row>
    <row r="205">
      <c r="A205" s="2" t="s">
        <v>324</v>
      </c>
      <c r="B205" s="2" t="s">
        <v>6</v>
      </c>
      <c r="C205" s="2" t="s">
        <v>340</v>
      </c>
      <c r="D205" s="2" t="s">
        <v>19</v>
      </c>
      <c r="E205" s="3" t="s">
        <v>342</v>
      </c>
    </row>
    <row r="206">
      <c r="A206" s="2" t="s">
        <v>324</v>
      </c>
      <c r="B206" s="2" t="s">
        <v>6</v>
      </c>
      <c r="C206" s="2" t="s">
        <v>340</v>
      </c>
      <c r="D206" s="2" t="s">
        <v>23</v>
      </c>
      <c r="E206" s="3" t="s">
        <v>343</v>
      </c>
    </row>
    <row r="207">
      <c r="A207" s="2" t="s">
        <v>324</v>
      </c>
      <c r="B207" s="2" t="s">
        <v>6</v>
      </c>
      <c r="C207" s="2" t="s">
        <v>340</v>
      </c>
      <c r="D207" s="4" t="s">
        <v>14</v>
      </c>
      <c r="E207" s="6" t="s">
        <v>344</v>
      </c>
    </row>
    <row r="208">
      <c r="A208" s="2" t="s">
        <v>324</v>
      </c>
      <c r="B208" s="2" t="s">
        <v>6</v>
      </c>
      <c r="C208" s="4" t="s">
        <v>345</v>
      </c>
      <c r="D208" s="4" t="s">
        <v>12</v>
      </c>
      <c r="E208" s="3" t="s">
        <v>346</v>
      </c>
    </row>
    <row r="209">
      <c r="A209" s="2" t="s">
        <v>324</v>
      </c>
      <c r="B209" s="2" t="s">
        <v>6</v>
      </c>
      <c r="C209" s="4" t="s">
        <v>345</v>
      </c>
      <c r="D209" s="4" t="s">
        <v>19</v>
      </c>
      <c r="E209" s="3" t="s">
        <v>347</v>
      </c>
    </row>
    <row r="210">
      <c r="A210" s="2" t="s">
        <v>324</v>
      </c>
      <c r="B210" s="2" t="s">
        <v>6</v>
      </c>
      <c r="C210" s="2" t="s">
        <v>348</v>
      </c>
      <c r="D210" s="4" t="s">
        <v>12</v>
      </c>
      <c r="E210" s="6" t="s">
        <v>349</v>
      </c>
      <c r="F210" s="8"/>
    </row>
    <row r="211">
      <c r="A211" s="2" t="s">
        <v>324</v>
      </c>
      <c r="B211" s="2" t="s">
        <v>6</v>
      </c>
      <c r="C211" s="2" t="s">
        <v>350</v>
      </c>
      <c r="D211" s="4" t="s">
        <v>12</v>
      </c>
      <c r="E211" s="3" t="s">
        <v>351</v>
      </c>
    </row>
    <row r="212">
      <c r="A212" s="2" t="s">
        <v>352</v>
      </c>
      <c r="B212" s="2" t="s">
        <v>6</v>
      </c>
      <c r="C212" s="2" t="s">
        <v>353</v>
      </c>
      <c r="D212" s="4" t="s">
        <v>12</v>
      </c>
      <c r="E212" s="3" t="s">
        <v>354</v>
      </c>
    </row>
  </sheetData>
  <autoFilter ref="$A$1:$Z$955"/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  <hyperlink r:id="rId134" ref="E135"/>
    <hyperlink r:id="rId135" ref="E136"/>
    <hyperlink r:id="rId136" ref="E137"/>
    <hyperlink r:id="rId137" ref="E138"/>
    <hyperlink r:id="rId138" ref="E139"/>
    <hyperlink r:id="rId139" ref="E140"/>
    <hyperlink r:id="rId140" ref="E141"/>
    <hyperlink r:id="rId141" ref="E142"/>
    <hyperlink r:id="rId142" ref="E143"/>
    <hyperlink r:id="rId143" ref="E144"/>
    <hyperlink r:id="rId144" ref="E145"/>
    <hyperlink r:id="rId145" ref="E146"/>
    <hyperlink r:id="rId146" ref="E147"/>
    <hyperlink r:id="rId147" ref="E148"/>
    <hyperlink r:id="rId148" ref="E149"/>
    <hyperlink r:id="rId149" ref="E150"/>
    <hyperlink r:id="rId150" ref="E151"/>
    <hyperlink r:id="rId151" ref="E152"/>
    <hyperlink r:id="rId152" ref="E153"/>
    <hyperlink r:id="rId153" ref="E154"/>
    <hyperlink r:id="rId154" ref="E155"/>
    <hyperlink r:id="rId155" ref="E156"/>
    <hyperlink r:id="rId156" ref="E157"/>
    <hyperlink r:id="rId157" ref="E158"/>
    <hyperlink r:id="rId158" ref="E159"/>
    <hyperlink r:id="rId159" ref="E160"/>
    <hyperlink r:id="rId160" ref="E161"/>
    <hyperlink r:id="rId161" ref="E162"/>
    <hyperlink r:id="rId162" ref="E163"/>
    <hyperlink r:id="rId163" ref="E164"/>
    <hyperlink r:id="rId164" ref="E165"/>
    <hyperlink r:id="rId165" ref="E166"/>
    <hyperlink r:id="rId166" ref="E167"/>
    <hyperlink r:id="rId167" ref="E168"/>
    <hyperlink r:id="rId168" ref="E169"/>
    <hyperlink r:id="rId169" ref="E170"/>
    <hyperlink r:id="rId170" ref="E171"/>
    <hyperlink r:id="rId171" ref="E172"/>
    <hyperlink r:id="rId172" ref="E173"/>
    <hyperlink r:id="rId173" ref="E174"/>
    <hyperlink r:id="rId174" ref="E175"/>
    <hyperlink r:id="rId175" ref="E176"/>
    <hyperlink r:id="rId176" ref="E177"/>
    <hyperlink r:id="rId177" ref="E178"/>
    <hyperlink r:id="rId178" ref="E179"/>
    <hyperlink r:id="rId179" ref="E180"/>
    <hyperlink r:id="rId180" ref="E181"/>
    <hyperlink r:id="rId181" ref="E182"/>
    <hyperlink r:id="rId182" ref="E183"/>
    <hyperlink r:id="rId183" ref="E184"/>
    <hyperlink r:id="rId184" ref="E185"/>
    <hyperlink r:id="rId185" ref="E186"/>
    <hyperlink r:id="rId186" ref="E187"/>
    <hyperlink r:id="rId187" ref="E188"/>
    <hyperlink r:id="rId188" ref="E189"/>
    <hyperlink r:id="rId189" ref="E190"/>
    <hyperlink r:id="rId190" ref="E191"/>
    <hyperlink r:id="rId191" ref="E192"/>
    <hyperlink r:id="rId192" ref="E193"/>
    <hyperlink r:id="rId193" ref="E194"/>
    <hyperlink r:id="rId194" ref="E195"/>
    <hyperlink r:id="rId195" ref="E196"/>
    <hyperlink r:id="rId196" ref="E197"/>
    <hyperlink r:id="rId197" ref="E198"/>
    <hyperlink r:id="rId198" ref="E199"/>
    <hyperlink r:id="rId199" ref="E200"/>
    <hyperlink r:id="rId200" ref="E201"/>
    <hyperlink r:id="rId201" ref="E202"/>
    <hyperlink r:id="rId202" ref="E203"/>
    <hyperlink r:id="rId203" ref="E204"/>
    <hyperlink r:id="rId204" ref="E205"/>
    <hyperlink r:id="rId205" ref="E206"/>
    <hyperlink r:id="rId206" ref="E207"/>
    <hyperlink r:id="rId207" ref="E208"/>
    <hyperlink r:id="rId208" ref="E209"/>
    <hyperlink r:id="rId209" ref="E210"/>
    <hyperlink r:id="rId210" ref="E211"/>
    <hyperlink r:id="rId211" ref="E212"/>
  </hyperlinks>
  <drawing r:id="rId21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28.88"/>
    <col customWidth="1" min="3" max="3" width="42.13"/>
    <col customWidth="1" min="5" max="5" width="57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4" t="s">
        <v>355</v>
      </c>
      <c r="B2" s="4" t="s">
        <v>356</v>
      </c>
      <c r="C2" s="4" t="s">
        <v>357</v>
      </c>
      <c r="D2" s="4" t="s">
        <v>12</v>
      </c>
      <c r="E2" s="10" t="s">
        <v>358</v>
      </c>
    </row>
    <row r="3">
      <c r="A3" s="4" t="s">
        <v>355</v>
      </c>
      <c r="B3" s="4" t="s">
        <v>356</v>
      </c>
      <c r="C3" s="4" t="s">
        <v>359</v>
      </c>
      <c r="D3" s="4" t="s">
        <v>14</v>
      </c>
      <c r="E3" s="6" t="s">
        <v>360</v>
      </c>
    </row>
    <row r="4">
      <c r="A4" s="4" t="s">
        <v>355</v>
      </c>
      <c r="B4" s="4" t="s">
        <v>356</v>
      </c>
      <c r="C4" s="4" t="s">
        <v>359</v>
      </c>
      <c r="D4" s="4" t="s">
        <v>19</v>
      </c>
      <c r="E4" s="6" t="s">
        <v>361</v>
      </c>
    </row>
    <row r="5">
      <c r="A5" s="4" t="s">
        <v>355</v>
      </c>
      <c r="B5" s="4" t="s">
        <v>356</v>
      </c>
      <c r="C5" s="4" t="s">
        <v>359</v>
      </c>
      <c r="D5" s="4" t="s">
        <v>12</v>
      </c>
      <c r="E5" s="3" t="s">
        <v>362</v>
      </c>
    </row>
    <row r="6">
      <c r="A6" s="4" t="s">
        <v>355</v>
      </c>
      <c r="B6" s="4" t="s">
        <v>363</v>
      </c>
      <c r="C6" s="4" t="s">
        <v>364</v>
      </c>
      <c r="D6" s="4" t="s">
        <v>14</v>
      </c>
      <c r="E6" s="3" t="s">
        <v>365</v>
      </c>
    </row>
    <row r="7">
      <c r="A7" s="4" t="s">
        <v>355</v>
      </c>
      <c r="B7" s="4" t="s">
        <v>363</v>
      </c>
      <c r="C7" s="4" t="s">
        <v>364</v>
      </c>
      <c r="D7" s="4" t="s">
        <v>12</v>
      </c>
      <c r="E7" s="3" t="s">
        <v>366</v>
      </c>
    </row>
    <row r="8">
      <c r="A8" s="4" t="s">
        <v>355</v>
      </c>
      <c r="B8" s="4" t="s">
        <v>363</v>
      </c>
      <c r="C8" s="4" t="s">
        <v>364</v>
      </c>
      <c r="D8" s="4" t="s">
        <v>60</v>
      </c>
      <c r="E8" s="6" t="s">
        <v>367</v>
      </c>
    </row>
    <row r="9">
      <c r="A9" s="4" t="s">
        <v>355</v>
      </c>
      <c r="B9" s="4" t="s">
        <v>363</v>
      </c>
      <c r="C9" s="4" t="s">
        <v>364</v>
      </c>
      <c r="D9" s="4" t="s">
        <v>23</v>
      </c>
      <c r="E9" s="6" t="s">
        <v>368</v>
      </c>
    </row>
    <row r="10">
      <c r="A10" s="4" t="s">
        <v>355</v>
      </c>
      <c r="B10" s="4" t="s">
        <v>369</v>
      </c>
      <c r="C10" s="4" t="s">
        <v>370</v>
      </c>
      <c r="D10" s="4" t="s">
        <v>14</v>
      </c>
      <c r="E10" s="6" t="s">
        <v>371</v>
      </c>
    </row>
    <row r="11">
      <c r="A11" s="4" t="s">
        <v>355</v>
      </c>
      <c r="B11" s="4" t="s">
        <v>369</v>
      </c>
      <c r="C11" s="4" t="s">
        <v>370</v>
      </c>
      <c r="D11" s="4" t="s">
        <v>19</v>
      </c>
      <c r="E11" s="6" t="s">
        <v>372</v>
      </c>
    </row>
    <row r="12">
      <c r="A12" s="4" t="s">
        <v>355</v>
      </c>
      <c r="B12" s="4" t="s">
        <v>369</v>
      </c>
      <c r="C12" s="4" t="s">
        <v>370</v>
      </c>
      <c r="D12" s="4" t="s">
        <v>12</v>
      </c>
      <c r="E12" s="3" t="s">
        <v>373</v>
      </c>
    </row>
    <row r="13">
      <c r="A13" s="4" t="s">
        <v>355</v>
      </c>
      <c r="B13" s="4" t="s">
        <v>369</v>
      </c>
      <c r="C13" s="4" t="s">
        <v>370</v>
      </c>
      <c r="D13" s="4" t="s">
        <v>23</v>
      </c>
      <c r="E13" s="6" t="s">
        <v>374</v>
      </c>
    </row>
    <row r="14">
      <c r="A14" s="4" t="s">
        <v>355</v>
      </c>
      <c r="B14" s="4" t="s">
        <v>369</v>
      </c>
      <c r="C14" s="4" t="s">
        <v>370</v>
      </c>
      <c r="D14" s="4" t="s">
        <v>60</v>
      </c>
      <c r="E14" s="6" t="s">
        <v>375</v>
      </c>
    </row>
    <row r="15">
      <c r="A15" s="4" t="s">
        <v>355</v>
      </c>
      <c r="B15" s="4" t="s">
        <v>376</v>
      </c>
      <c r="C15" s="4" t="s">
        <v>377</v>
      </c>
      <c r="D15" s="4" t="s">
        <v>14</v>
      </c>
      <c r="E15" s="6" t="s">
        <v>378</v>
      </c>
    </row>
    <row r="16">
      <c r="A16" s="4" t="s">
        <v>355</v>
      </c>
      <c r="B16" s="4" t="s">
        <v>376</v>
      </c>
      <c r="C16" s="4" t="s">
        <v>377</v>
      </c>
      <c r="D16" s="4" t="s">
        <v>19</v>
      </c>
      <c r="E16" s="6" t="s">
        <v>379</v>
      </c>
    </row>
    <row r="17">
      <c r="A17" s="4" t="s">
        <v>355</v>
      </c>
      <c r="B17" s="4" t="s">
        <v>376</v>
      </c>
      <c r="C17" s="4" t="s">
        <v>377</v>
      </c>
      <c r="D17" s="4" t="s">
        <v>12</v>
      </c>
      <c r="E17" s="3" t="s">
        <v>380</v>
      </c>
    </row>
    <row r="18">
      <c r="A18" s="4" t="s">
        <v>355</v>
      </c>
      <c r="B18" s="4" t="s">
        <v>376</v>
      </c>
      <c r="C18" s="4" t="s">
        <v>377</v>
      </c>
      <c r="D18" s="4" t="s">
        <v>23</v>
      </c>
      <c r="E18" s="6" t="s">
        <v>381</v>
      </c>
    </row>
    <row r="19">
      <c r="A19" s="4" t="s">
        <v>355</v>
      </c>
      <c r="B19" s="4" t="s">
        <v>382</v>
      </c>
      <c r="C19" s="4" t="s">
        <v>383</v>
      </c>
      <c r="D19" s="4" t="s">
        <v>14</v>
      </c>
      <c r="E19" s="6" t="s">
        <v>384</v>
      </c>
    </row>
    <row r="20">
      <c r="A20" s="4" t="s">
        <v>355</v>
      </c>
      <c r="B20" s="4" t="s">
        <v>382</v>
      </c>
      <c r="C20" s="4" t="s">
        <v>383</v>
      </c>
      <c r="D20" s="4" t="s">
        <v>12</v>
      </c>
      <c r="E20" s="3" t="s">
        <v>385</v>
      </c>
    </row>
    <row r="21">
      <c r="A21" s="4" t="s">
        <v>355</v>
      </c>
      <c r="B21" s="4" t="s">
        <v>386</v>
      </c>
      <c r="C21" s="4" t="s">
        <v>387</v>
      </c>
      <c r="D21" s="4" t="s">
        <v>14</v>
      </c>
      <c r="E21" s="3" t="s">
        <v>388</v>
      </c>
    </row>
    <row r="22">
      <c r="A22" s="4" t="s">
        <v>355</v>
      </c>
      <c r="B22" s="4" t="s">
        <v>386</v>
      </c>
      <c r="C22" s="4" t="s">
        <v>387</v>
      </c>
      <c r="D22" s="4" t="s">
        <v>19</v>
      </c>
      <c r="E22" s="3" t="s">
        <v>389</v>
      </c>
    </row>
    <row r="23">
      <c r="A23" s="4" t="s">
        <v>355</v>
      </c>
      <c r="B23" s="4" t="s">
        <v>386</v>
      </c>
      <c r="C23" s="4" t="s">
        <v>387</v>
      </c>
      <c r="D23" s="4" t="s">
        <v>12</v>
      </c>
      <c r="E23" s="12" t="s">
        <v>390</v>
      </c>
    </row>
    <row r="24">
      <c r="A24" s="4" t="s">
        <v>355</v>
      </c>
      <c r="B24" s="4" t="s">
        <v>386</v>
      </c>
      <c r="C24" s="4" t="s">
        <v>387</v>
      </c>
      <c r="D24" s="4" t="s">
        <v>60</v>
      </c>
      <c r="E24" s="6" t="s">
        <v>391</v>
      </c>
    </row>
    <row r="25">
      <c r="A25" s="4" t="s">
        <v>355</v>
      </c>
      <c r="B25" s="4" t="s">
        <v>392</v>
      </c>
      <c r="C25" s="4" t="s">
        <v>393</v>
      </c>
      <c r="D25" s="4" t="s">
        <v>14</v>
      </c>
      <c r="E25" s="6" t="s">
        <v>394</v>
      </c>
    </row>
    <row r="26">
      <c r="A26" s="4" t="s">
        <v>355</v>
      </c>
      <c r="B26" s="4" t="s">
        <v>392</v>
      </c>
      <c r="C26" s="4" t="s">
        <v>393</v>
      </c>
      <c r="D26" s="4" t="s">
        <v>19</v>
      </c>
      <c r="E26" s="6" t="s">
        <v>395</v>
      </c>
    </row>
    <row r="27">
      <c r="A27" s="4" t="s">
        <v>355</v>
      </c>
      <c r="B27" s="4" t="s">
        <v>392</v>
      </c>
      <c r="C27" s="4" t="s">
        <v>393</v>
      </c>
      <c r="D27" s="4" t="s">
        <v>12</v>
      </c>
      <c r="E27" s="3" t="s">
        <v>396</v>
      </c>
    </row>
    <row r="28">
      <c r="A28" s="4" t="s">
        <v>355</v>
      </c>
      <c r="B28" s="4" t="s">
        <v>392</v>
      </c>
      <c r="C28" s="4" t="s">
        <v>393</v>
      </c>
      <c r="D28" s="4" t="s">
        <v>23</v>
      </c>
      <c r="E28" s="6" t="s">
        <v>397</v>
      </c>
      <c r="F28" s="8"/>
    </row>
    <row r="29">
      <c r="A29" s="4" t="s">
        <v>355</v>
      </c>
      <c r="B29" s="4" t="s">
        <v>398</v>
      </c>
      <c r="C29" s="4" t="s">
        <v>399</v>
      </c>
      <c r="D29" s="4" t="s">
        <v>14</v>
      </c>
      <c r="E29" s="3" t="s">
        <v>400</v>
      </c>
    </row>
    <row r="30">
      <c r="A30" s="4" t="s">
        <v>355</v>
      </c>
      <c r="B30" s="4" t="s">
        <v>398</v>
      </c>
      <c r="C30" s="4" t="s">
        <v>399</v>
      </c>
      <c r="D30" s="4" t="s">
        <v>12</v>
      </c>
      <c r="E30" s="3" t="s">
        <v>401</v>
      </c>
    </row>
    <row r="31">
      <c r="A31" s="4" t="s">
        <v>355</v>
      </c>
      <c r="B31" s="4" t="s">
        <v>402</v>
      </c>
      <c r="C31" s="4" t="s">
        <v>403</v>
      </c>
      <c r="D31" s="4" t="s">
        <v>14</v>
      </c>
      <c r="E31" s="13" t="s">
        <v>404</v>
      </c>
    </row>
    <row r="32">
      <c r="A32" s="4" t="s">
        <v>355</v>
      </c>
      <c r="B32" s="4" t="s">
        <v>402</v>
      </c>
      <c r="C32" s="4" t="s">
        <v>403</v>
      </c>
      <c r="D32" s="4" t="s">
        <v>12</v>
      </c>
      <c r="E32" s="10" t="s">
        <v>405</v>
      </c>
    </row>
    <row r="33">
      <c r="A33" s="4" t="s">
        <v>355</v>
      </c>
      <c r="B33" s="4" t="s">
        <v>406</v>
      </c>
      <c r="C33" s="4" t="s">
        <v>407</v>
      </c>
      <c r="D33" s="4" t="s">
        <v>14</v>
      </c>
      <c r="E33" s="6" t="s">
        <v>408</v>
      </c>
    </row>
    <row r="34">
      <c r="A34" s="4" t="s">
        <v>355</v>
      </c>
      <c r="B34" s="4" t="s">
        <v>406</v>
      </c>
      <c r="C34" s="4" t="s">
        <v>407</v>
      </c>
      <c r="D34" s="4" t="s">
        <v>12</v>
      </c>
      <c r="E34" s="3" t="s">
        <v>409</v>
      </c>
    </row>
    <row r="35">
      <c r="A35" s="4" t="s">
        <v>355</v>
      </c>
      <c r="B35" s="4" t="s">
        <v>410</v>
      </c>
      <c r="C35" s="4" t="s">
        <v>411</v>
      </c>
      <c r="D35" s="4" t="s">
        <v>14</v>
      </c>
      <c r="E35" s="6" t="s">
        <v>412</v>
      </c>
    </row>
    <row r="36">
      <c r="A36" s="4" t="s">
        <v>355</v>
      </c>
      <c r="B36" s="4" t="s">
        <v>410</v>
      </c>
      <c r="C36" s="4" t="s">
        <v>411</v>
      </c>
      <c r="D36" s="4" t="s">
        <v>19</v>
      </c>
      <c r="E36" s="6" t="s">
        <v>413</v>
      </c>
    </row>
    <row r="37">
      <c r="A37" s="4" t="s">
        <v>355</v>
      </c>
      <c r="B37" s="4" t="s">
        <v>410</v>
      </c>
      <c r="C37" s="4" t="s">
        <v>411</v>
      </c>
      <c r="D37" s="4" t="s">
        <v>12</v>
      </c>
      <c r="E37" s="3" t="s">
        <v>414</v>
      </c>
    </row>
    <row r="38">
      <c r="A38" s="4" t="s">
        <v>355</v>
      </c>
      <c r="B38" s="4" t="s">
        <v>410</v>
      </c>
      <c r="C38" s="4" t="s">
        <v>411</v>
      </c>
      <c r="D38" s="4" t="s">
        <v>60</v>
      </c>
      <c r="E38" s="3" t="s">
        <v>415</v>
      </c>
    </row>
    <row r="39">
      <c r="A39" s="4" t="s">
        <v>355</v>
      </c>
      <c r="B39" s="4" t="s">
        <v>410</v>
      </c>
      <c r="C39" s="4" t="s">
        <v>411</v>
      </c>
      <c r="D39" s="4" t="s">
        <v>23</v>
      </c>
      <c r="E39" s="6" t="s">
        <v>416</v>
      </c>
    </row>
    <row r="40">
      <c r="A40" s="4" t="s">
        <v>355</v>
      </c>
      <c r="B40" s="4" t="s">
        <v>417</v>
      </c>
      <c r="C40" s="4" t="s">
        <v>418</v>
      </c>
      <c r="D40" s="4" t="s">
        <v>14</v>
      </c>
      <c r="E40" s="3" t="s">
        <v>419</v>
      </c>
    </row>
    <row r="41">
      <c r="A41" s="4" t="s">
        <v>355</v>
      </c>
      <c r="B41" s="4" t="s">
        <v>417</v>
      </c>
      <c r="C41" s="4" t="s">
        <v>420</v>
      </c>
      <c r="D41" s="4" t="s">
        <v>12</v>
      </c>
      <c r="E41" s="3" t="s">
        <v>421</v>
      </c>
    </row>
    <row r="42">
      <c r="A42" s="4" t="s">
        <v>355</v>
      </c>
      <c r="B42" s="4" t="s">
        <v>417</v>
      </c>
      <c r="C42" s="4" t="s">
        <v>418</v>
      </c>
      <c r="D42" s="4" t="s">
        <v>12</v>
      </c>
      <c r="E42" s="3" t="s">
        <v>422</v>
      </c>
    </row>
    <row r="43">
      <c r="A43" s="4" t="s">
        <v>355</v>
      </c>
      <c r="B43" s="4" t="s">
        <v>417</v>
      </c>
      <c r="C43" s="4" t="s">
        <v>418</v>
      </c>
      <c r="D43" s="4" t="s">
        <v>23</v>
      </c>
      <c r="E43" s="6" t="s">
        <v>423</v>
      </c>
    </row>
    <row r="44">
      <c r="A44" s="4" t="s">
        <v>355</v>
      </c>
      <c r="B44" s="4" t="s">
        <v>417</v>
      </c>
      <c r="C44" s="4" t="s">
        <v>418</v>
      </c>
      <c r="D44" s="4" t="s">
        <v>60</v>
      </c>
      <c r="E44" s="6" t="s">
        <v>424</v>
      </c>
    </row>
    <row r="45">
      <c r="A45" s="4" t="s">
        <v>355</v>
      </c>
      <c r="B45" s="4" t="s">
        <v>417</v>
      </c>
      <c r="C45" s="4" t="s">
        <v>418</v>
      </c>
      <c r="D45" s="4" t="s">
        <v>425</v>
      </c>
      <c r="E45" s="6" t="s">
        <v>426</v>
      </c>
    </row>
    <row r="46">
      <c r="A46" s="4" t="s">
        <v>355</v>
      </c>
      <c r="B46" s="4" t="s">
        <v>427</v>
      </c>
      <c r="C46" s="4" t="s">
        <v>428</v>
      </c>
      <c r="D46" s="4" t="s">
        <v>14</v>
      </c>
      <c r="E46" s="6" t="s">
        <v>429</v>
      </c>
    </row>
    <row r="47">
      <c r="A47" s="4" t="s">
        <v>355</v>
      </c>
      <c r="B47" s="4" t="s">
        <v>427</v>
      </c>
      <c r="C47" s="4" t="s">
        <v>428</v>
      </c>
      <c r="D47" s="4" t="s">
        <v>12</v>
      </c>
      <c r="E47" s="3" t="s">
        <v>430</v>
      </c>
    </row>
    <row r="48">
      <c r="A48" s="4" t="s">
        <v>355</v>
      </c>
      <c r="B48" s="4" t="s">
        <v>427</v>
      </c>
      <c r="C48" s="4" t="s">
        <v>428</v>
      </c>
      <c r="D48" s="4" t="s">
        <v>23</v>
      </c>
      <c r="E48" s="6" t="s">
        <v>431</v>
      </c>
    </row>
    <row r="49">
      <c r="A49" s="4" t="s">
        <v>355</v>
      </c>
      <c r="B49" s="4" t="s">
        <v>432</v>
      </c>
      <c r="C49" s="4" t="s">
        <v>433</v>
      </c>
      <c r="D49" s="4" t="s">
        <v>14</v>
      </c>
      <c r="E49" s="3" t="s">
        <v>434</v>
      </c>
    </row>
    <row r="50">
      <c r="A50" s="4" t="s">
        <v>355</v>
      </c>
      <c r="B50" s="4" t="s">
        <v>432</v>
      </c>
      <c r="C50" s="4" t="s">
        <v>433</v>
      </c>
      <c r="D50" s="4" t="s">
        <v>19</v>
      </c>
      <c r="E50" s="6" t="s">
        <v>435</v>
      </c>
    </row>
    <row r="51">
      <c r="A51" s="4" t="s">
        <v>355</v>
      </c>
      <c r="B51" s="4" t="s">
        <v>432</v>
      </c>
      <c r="C51" s="4" t="s">
        <v>433</v>
      </c>
      <c r="D51" s="4" t="s">
        <v>12</v>
      </c>
      <c r="E51" s="10" t="s">
        <v>436</v>
      </c>
    </row>
    <row r="52">
      <c r="A52" s="4" t="s">
        <v>355</v>
      </c>
      <c r="B52" s="4" t="s">
        <v>437</v>
      </c>
      <c r="C52" s="4" t="s">
        <v>438</v>
      </c>
      <c r="D52" s="4" t="s">
        <v>14</v>
      </c>
      <c r="E52" s="6" t="s">
        <v>439</v>
      </c>
    </row>
    <row r="53">
      <c r="A53" s="4" t="s">
        <v>355</v>
      </c>
      <c r="B53" s="14" t="s">
        <v>440</v>
      </c>
      <c r="C53" s="4" t="s">
        <v>441</v>
      </c>
      <c r="D53" s="4" t="s">
        <v>14</v>
      </c>
      <c r="E53" s="15" t="s">
        <v>442</v>
      </c>
    </row>
    <row r="54">
      <c r="A54" s="4" t="s">
        <v>355</v>
      </c>
      <c r="B54" s="4" t="s">
        <v>440</v>
      </c>
      <c r="C54" s="4" t="s">
        <v>441</v>
      </c>
      <c r="D54" s="4" t="s">
        <v>12</v>
      </c>
      <c r="E54" s="3" t="s">
        <v>443</v>
      </c>
    </row>
    <row r="55">
      <c r="A55" s="4" t="s">
        <v>355</v>
      </c>
      <c r="B55" s="4" t="s">
        <v>444</v>
      </c>
      <c r="C55" s="4" t="s">
        <v>445</v>
      </c>
      <c r="D55" s="4" t="s">
        <v>14</v>
      </c>
      <c r="E55" s="6" t="s">
        <v>446</v>
      </c>
    </row>
    <row r="56">
      <c r="A56" s="4" t="s">
        <v>355</v>
      </c>
      <c r="B56" s="4" t="s">
        <v>444</v>
      </c>
      <c r="C56" s="4" t="s">
        <v>445</v>
      </c>
      <c r="D56" s="4" t="s">
        <v>19</v>
      </c>
      <c r="E56" s="6" t="s">
        <v>447</v>
      </c>
    </row>
    <row r="57">
      <c r="A57" s="4" t="s">
        <v>355</v>
      </c>
      <c r="B57" s="4" t="s">
        <v>444</v>
      </c>
      <c r="C57" s="4" t="s">
        <v>445</v>
      </c>
      <c r="D57" s="4" t="s">
        <v>12</v>
      </c>
      <c r="E57" s="3" t="s">
        <v>448</v>
      </c>
    </row>
    <row r="58">
      <c r="A58" s="4" t="s">
        <v>355</v>
      </c>
      <c r="B58" s="4" t="s">
        <v>444</v>
      </c>
      <c r="C58" s="4" t="s">
        <v>445</v>
      </c>
      <c r="D58" s="4" t="s">
        <v>23</v>
      </c>
      <c r="E58" s="6" t="s">
        <v>449</v>
      </c>
    </row>
    <row r="59">
      <c r="A59" s="4" t="s">
        <v>355</v>
      </c>
      <c r="B59" s="4" t="s">
        <v>444</v>
      </c>
      <c r="C59" s="4" t="s">
        <v>445</v>
      </c>
      <c r="D59" s="4" t="s">
        <v>60</v>
      </c>
      <c r="E59" s="6" t="s">
        <v>450</v>
      </c>
    </row>
    <row r="60">
      <c r="A60" s="4" t="s">
        <v>355</v>
      </c>
      <c r="B60" s="4" t="s">
        <v>444</v>
      </c>
      <c r="C60" s="4" t="s">
        <v>451</v>
      </c>
      <c r="D60" s="4" t="s">
        <v>14</v>
      </c>
      <c r="E60" s="6" t="s">
        <v>452</v>
      </c>
    </row>
    <row r="61">
      <c r="A61" s="4" t="s">
        <v>355</v>
      </c>
      <c r="B61" s="4" t="s">
        <v>444</v>
      </c>
      <c r="C61" s="4" t="s">
        <v>451</v>
      </c>
      <c r="D61" s="4" t="s">
        <v>12</v>
      </c>
      <c r="E61" s="6" t="s">
        <v>453</v>
      </c>
    </row>
    <row r="62">
      <c r="A62" s="4" t="s">
        <v>355</v>
      </c>
      <c r="B62" s="4" t="s">
        <v>444</v>
      </c>
      <c r="C62" s="4" t="s">
        <v>451</v>
      </c>
      <c r="D62" s="4" t="s">
        <v>60</v>
      </c>
      <c r="E62" s="6" t="s">
        <v>454</v>
      </c>
    </row>
    <row r="63">
      <c r="A63" s="4" t="s">
        <v>355</v>
      </c>
      <c r="B63" s="4" t="s">
        <v>455</v>
      </c>
      <c r="C63" s="4" t="s">
        <v>456</v>
      </c>
      <c r="D63" s="4" t="s">
        <v>14</v>
      </c>
      <c r="E63" s="6" t="s">
        <v>457</v>
      </c>
    </row>
    <row r="64">
      <c r="A64" s="4" t="s">
        <v>355</v>
      </c>
      <c r="B64" s="4" t="s">
        <v>455</v>
      </c>
      <c r="C64" s="4" t="s">
        <v>456</v>
      </c>
      <c r="D64" s="4" t="s">
        <v>12</v>
      </c>
      <c r="E64" s="12" t="s">
        <v>458</v>
      </c>
    </row>
    <row r="65">
      <c r="A65" s="4" t="s">
        <v>355</v>
      </c>
      <c r="B65" s="4" t="s">
        <v>455</v>
      </c>
      <c r="C65" s="4" t="s">
        <v>456</v>
      </c>
      <c r="D65" s="4" t="s">
        <v>23</v>
      </c>
      <c r="E65" s="6" t="s">
        <v>459</v>
      </c>
    </row>
    <row r="66">
      <c r="A66" s="4" t="s">
        <v>355</v>
      </c>
      <c r="B66" s="4" t="s">
        <v>460</v>
      </c>
      <c r="C66" s="4" t="s">
        <v>461</v>
      </c>
      <c r="D66" s="4" t="s">
        <v>14</v>
      </c>
      <c r="E66" s="3" t="s">
        <v>462</v>
      </c>
    </row>
    <row r="67">
      <c r="A67" s="4" t="s">
        <v>355</v>
      </c>
      <c r="B67" s="4" t="s">
        <v>460</v>
      </c>
      <c r="C67" s="4" t="s">
        <v>461</v>
      </c>
      <c r="D67" s="4" t="s">
        <v>19</v>
      </c>
      <c r="E67" s="3" t="s">
        <v>463</v>
      </c>
    </row>
    <row r="68">
      <c r="A68" s="4" t="s">
        <v>355</v>
      </c>
      <c r="B68" s="4" t="s">
        <v>460</v>
      </c>
      <c r="C68" s="4" t="s">
        <v>461</v>
      </c>
      <c r="D68" s="4" t="s">
        <v>12</v>
      </c>
      <c r="E68" s="3" t="s">
        <v>464</v>
      </c>
    </row>
    <row r="69">
      <c r="A69" s="4" t="s">
        <v>355</v>
      </c>
      <c r="B69" s="4" t="s">
        <v>465</v>
      </c>
      <c r="C69" s="4" t="s">
        <v>466</v>
      </c>
      <c r="D69" s="4" t="s">
        <v>14</v>
      </c>
      <c r="E69" s="6" t="s">
        <v>467</v>
      </c>
    </row>
    <row r="70">
      <c r="A70" s="4" t="s">
        <v>355</v>
      </c>
      <c r="B70" s="4" t="s">
        <v>465</v>
      </c>
      <c r="C70" s="4" t="s">
        <v>466</v>
      </c>
      <c r="D70" s="4" t="s">
        <v>12</v>
      </c>
      <c r="E70" s="3" t="s">
        <v>468</v>
      </c>
    </row>
    <row r="71">
      <c r="A71" s="4" t="s">
        <v>355</v>
      </c>
      <c r="B71" s="4" t="s">
        <v>469</v>
      </c>
      <c r="C71" s="4" t="s">
        <v>470</v>
      </c>
      <c r="D71" s="4" t="s">
        <v>14</v>
      </c>
      <c r="E71" s="6" t="s">
        <v>471</v>
      </c>
    </row>
    <row r="72">
      <c r="A72" s="4" t="s">
        <v>355</v>
      </c>
      <c r="B72" s="4" t="s">
        <v>469</v>
      </c>
      <c r="C72" s="4" t="s">
        <v>470</v>
      </c>
      <c r="D72" s="4" t="s">
        <v>19</v>
      </c>
      <c r="E72" s="3" t="s">
        <v>472</v>
      </c>
    </row>
    <row r="73">
      <c r="A73" s="4" t="s">
        <v>355</v>
      </c>
      <c r="B73" s="4" t="s">
        <v>469</v>
      </c>
      <c r="C73" s="4" t="s">
        <v>470</v>
      </c>
      <c r="D73" s="4" t="s">
        <v>12</v>
      </c>
      <c r="E73" s="16" t="s">
        <v>473</v>
      </c>
    </row>
    <row r="74">
      <c r="A74" s="4" t="s">
        <v>355</v>
      </c>
      <c r="B74" s="4" t="s">
        <v>469</v>
      </c>
      <c r="C74" s="4" t="s">
        <v>470</v>
      </c>
      <c r="D74" s="4" t="s">
        <v>23</v>
      </c>
      <c r="E74" s="6" t="s">
        <v>474</v>
      </c>
    </row>
    <row r="75">
      <c r="A75" s="4" t="s">
        <v>355</v>
      </c>
      <c r="B75" s="4" t="s">
        <v>469</v>
      </c>
      <c r="C75" s="4" t="s">
        <v>470</v>
      </c>
      <c r="D75" s="4" t="s">
        <v>60</v>
      </c>
      <c r="E75" s="6" t="s">
        <v>475</v>
      </c>
    </row>
    <row r="76">
      <c r="A76" s="4" t="s">
        <v>355</v>
      </c>
      <c r="B76" s="4" t="s">
        <v>476</v>
      </c>
      <c r="C76" s="4" t="s">
        <v>477</v>
      </c>
      <c r="D76" s="4" t="s">
        <v>14</v>
      </c>
      <c r="E76" s="6" t="s">
        <v>478</v>
      </c>
    </row>
    <row r="77">
      <c r="A77" s="4" t="s">
        <v>355</v>
      </c>
      <c r="B77" s="4" t="s">
        <v>476</v>
      </c>
      <c r="C77" s="4" t="s">
        <v>477</v>
      </c>
      <c r="D77" s="4" t="s">
        <v>19</v>
      </c>
      <c r="E77" s="6" t="s">
        <v>479</v>
      </c>
    </row>
    <row r="78">
      <c r="A78" s="4" t="s">
        <v>355</v>
      </c>
      <c r="B78" s="4" t="s">
        <v>476</v>
      </c>
      <c r="C78" s="4" t="s">
        <v>477</v>
      </c>
      <c r="D78" s="4" t="s">
        <v>12</v>
      </c>
      <c r="E78" s="3" t="s">
        <v>480</v>
      </c>
    </row>
    <row r="79">
      <c r="A79" s="4" t="s">
        <v>355</v>
      </c>
      <c r="B79" s="4" t="s">
        <v>476</v>
      </c>
      <c r="C79" s="4" t="s">
        <v>477</v>
      </c>
      <c r="D79" s="4" t="s">
        <v>23</v>
      </c>
      <c r="E79" s="6" t="s">
        <v>481</v>
      </c>
    </row>
    <row r="80">
      <c r="A80" s="4" t="s">
        <v>355</v>
      </c>
      <c r="B80" s="4" t="s">
        <v>482</v>
      </c>
      <c r="C80" s="4" t="s">
        <v>483</v>
      </c>
      <c r="D80" s="4" t="s">
        <v>14</v>
      </c>
      <c r="E80" s="6" t="s">
        <v>484</v>
      </c>
    </row>
    <row r="81">
      <c r="A81" s="4" t="s">
        <v>355</v>
      </c>
      <c r="B81" s="4" t="s">
        <v>485</v>
      </c>
      <c r="C81" s="4" t="s">
        <v>486</v>
      </c>
      <c r="D81" s="4" t="s">
        <v>12</v>
      </c>
      <c r="E81" s="3" t="s">
        <v>487</v>
      </c>
    </row>
    <row r="82">
      <c r="A82" s="4" t="s">
        <v>355</v>
      </c>
      <c r="B82" s="4" t="s">
        <v>485</v>
      </c>
      <c r="C82" s="4" t="s">
        <v>488</v>
      </c>
      <c r="D82" s="4" t="s">
        <v>14</v>
      </c>
      <c r="E82" s="6" t="s">
        <v>489</v>
      </c>
    </row>
    <row r="83">
      <c r="A83" s="4" t="s">
        <v>355</v>
      </c>
      <c r="B83" s="4" t="s">
        <v>485</v>
      </c>
      <c r="C83" s="4" t="s">
        <v>488</v>
      </c>
      <c r="D83" s="4" t="s">
        <v>19</v>
      </c>
      <c r="E83" s="3" t="s">
        <v>490</v>
      </c>
    </row>
    <row r="84">
      <c r="A84" s="4" t="s">
        <v>355</v>
      </c>
      <c r="B84" s="4" t="s">
        <v>485</v>
      </c>
      <c r="C84" s="17" t="s">
        <v>488</v>
      </c>
      <c r="D84" s="4" t="s">
        <v>12</v>
      </c>
      <c r="E84" s="3" t="s">
        <v>491</v>
      </c>
    </row>
    <row r="85">
      <c r="A85" s="4" t="s">
        <v>355</v>
      </c>
      <c r="B85" s="4" t="s">
        <v>485</v>
      </c>
      <c r="C85" s="17" t="s">
        <v>488</v>
      </c>
      <c r="D85" s="4" t="s">
        <v>23</v>
      </c>
      <c r="E85" s="13" t="s">
        <v>492</v>
      </c>
    </row>
    <row r="86">
      <c r="A86" s="4" t="s">
        <v>355</v>
      </c>
      <c r="B86" s="4" t="s">
        <v>485</v>
      </c>
      <c r="C86" s="4" t="s">
        <v>488</v>
      </c>
      <c r="D86" s="4" t="s">
        <v>60</v>
      </c>
      <c r="E86" s="13" t="s">
        <v>493</v>
      </c>
    </row>
    <row r="87">
      <c r="A87" s="4" t="s">
        <v>355</v>
      </c>
      <c r="B87" s="4" t="s">
        <v>494</v>
      </c>
      <c r="C87" s="4" t="s">
        <v>495</v>
      </c>
      <c r="D87" s="4" t="s">
        <v>14</v>
      </c>
      <c r="E87" s="13" t="s">
        <v>496</v>
      </c>
    </row>
    <row r="88">
      <c r="A88" s="4" t="s">
        <v>355</v>
      </c>
      <c r="B88" s="4" t="s">
        <v>494</v>
      </c>
      <c r="C88" s="4" t="s">
        <v>495</v>
      </c>
      <c r="D88" s="4" t="s">
        <v>12</v>
      </c>
      <c r="E88" s="3" t="s">
        <v>497</v>
      </c>
    </row>
    <row r="89">
      <c r="A89" s="4" t="s">
        <v>355</v>
      </c>
      <c r="B89" s="4" t="s">
        <v>498</v>
      </c>
      <c r="C89" s="4" t="s">
        <v>499</v>
      </c>
      <c r="D89" s="4" t="s">
        <v>14</v>
      </c>
      <c r="E89" s="13" t="s">
        <v>500</v>
      </c>
    </row>
    <row r="90">
      <c r="A90" s="4" t="s">
        <v>355</v>
      </c>
      <c r="B90" s="4" t="s">
        <v>498</v>
      </c>
      <c r="C90" s="4" t="s">
        <v>499</v>
      </c>
      <c r="D90" s="4" t="s">
        <v>12</v>
      </c>
      <c r="E90" s="3" t="s">
        <v>501</v>
      </c>
    </row>
    <row r="91">
      <c r="A91" s="4" t="s">
        <v>355</v>
      </c>
      <c r="B91" s="4" t="s">
        <v>498</v>
      </c>
      <c r="C91" s="4" t="s">
        <v>499</v>
      </c>
      <c r="D91" s="4" t="s">
        <v>60</v>
      </c>
      <c r="E91" s="13" t="s">
        <v>502</v>
      </c>
    </row>
    <row r="92">
      <c r="A92" s="4" t="s">
        <v>355</v>
      </c>
      <c r="B92" s="4" t="s">
        <v>503</v>
      </c>
      <c r="C92" s="4" t="s">
        <v>504</v>
      </c>
      <c r="D92" s="4" t="s">
        <v>14</v>
      </c>
      <c r="E92" s="6" t="s">
        <v>505</v>
      </c>
    </row>
    <row r="93">
      <c r="A93" s="4" t="s">
        <v>355</v>
      </c>
      <c r="B93" s="4" t="s">
        <v>503</v>
      </c>
      <c r="C93" s="4" t="s">
        <v>504</v>
      </c>
      <c r="D93" s="4" t="s">
        <v>19</v>
      </c>
      <c r="E93" s="6" t="s">
        <v>506</v>
      </c>
    </row>
    <row r="94">
      <c r="A94" s="4" t="s">
        <v>355</v>
      </c>
      <c r="B94" s="4" t="s">
        <v>503</v>
      </c>
      <c r="C94" s="4" t="s">
        <v>504</v>
      </c>
      <c r="D94" s="4" t="s">
        <v>12</v>
      </c>
      <c r="E94" s="3" t="s">
        <v>507</v>
      </c>
    </row>
    <row r="95">
      <c r="A95" s="4" t="s">
        <v>355</v>
      </c>
      <c r="B95" s="4" t="s">
        <v>503</v>
      </c>
      <c r="C95" s="4" t="s">
        <v>504</v>
      </c>
      <c r="D95" s="4" t="s">
        <v>23</v>
      </c>
      <c r="E95" s="6" t="s">
        <v>508</v>
      </c>
    </row>
    <row r="96">
      <c r="A96" s="4" t="s">
        <v>355</v>
      </c>
      <c r="B96" s="4" t="s">
        <v>509</v>
      </c>
      <c r="C96" s="4" t="s">
        <v>510</v>
      </c>
      <c r="D96" s="4" t="s">
        <v>14</v>
      </c>
      <c r="E96" s="6" t="s">
        <v>511</v>
      </c>
    </row>
    <row r="97">
      <c r="A97" s="4" t="s">
        <v>355</v>
      </c>
      <c r="B97" s="4" t="s">
        <v>509</v>
      </c>
      <c r="C97" s="4" t="s">
        <v>510</v>
      </c>
      <c r="D97" s="4" t="s">
        <v>12</v>
      </c>
      <c r="E97" s="3" t="s">
        <v>512</v>
      </c>
    </row>
    <row r="98">
      <c r="A98" s="4" t="s">
        <v>355</v>
      </c>
      <c r="B98" s="4" t="s">
        <v>509</v>
      </c>
      <c r="C98" s="4" t="s">
        <v>510</v>
      </c>
      <c r="D98" s="4" t="s">
        <v>23</v>
      </c>
      <c r="E98" s="6" t="s">
        <v>513</v>
      </c>
    </row>
    <row r="99">
      <c r="A99" s="4" t="s">
        <v>355</v>
      </c>
      <c r="B99" s="4" t="s">
        <v>509</v>
      </c>
      <c r="C99" s="4" t="s">
        <v>510</v>
      </c>
      <c r="D99" s="4" t="s">
        <v>60</v>
      </c>
      <c r="E99" s="6" t="s">
        <v>514</v>
      </c>
    </row>
    <row r="100">
      <c r="A100" s="4" t="s">
        <v>355</v>
      </c>
      <c r="B100" s="4" t="s">
        <v>515</v>
      </c>
      <c r="C100" s="4" t="s">
        <v>516</v>
      </c>
      <c r="D100" s="4" t="s">
        <v>14</v>
      </c>
      <c r="E100" s="6" t="s">
        <v>517</v>
      </c>
    </row>
    <row r="101">
      <c r="A101" s="4" t="s">
        <v>355</v>
      </c>
      <c r="B101" s="4" t="s">
        <v>515</v>
      </c>
      <c r="C101" s="4" t="s">
        <v>516</v>
      </c>
      <c r="D101" s="4" t="s">
        <v>12</v>
      </c>
      <c r="E101" s="3" t="s">
        <v>518</v>
      </c>
    </row>
    <row r="102">
      <c r="A102" s="4" t="s">
        <v>355</v>
      </c>
      <c r="B102" s="4" t="s">
        <v>515</v>
      </c>
      <c r="C102" s="4" t="s">
        <v>516</v>
      </c>
      <c r="D102" s="4" t="s">
        <v>23</v>
      </c>
      <c r="E102" s="3" t="s">
        <v>519</v>
      </c>
    </row>
    <row r="103">
      <c r="A103" s="4" t="s">
        <v>355</v>
      </c>
      <c r="B103" s="4" t="s">
        <v>520</v>
      </c>
      <c r="C103" s="4" t="s">
        <v>521</v>
      </c>
      <c r="D103" s="4" t="s">
        <v>14</v>
      </c>
      <c r="E103" s="6" t="s">
        <v>522</v>
      </c>
    </row>
    <row r="104">
      <c r="A104" s="4" t="s">
        <v>355</v>
      </c>
      <c r="B104" s="4" t="s">
        <v>520</v>
      </c>
      <c r="C104" s="4" t="s">
        <v>521</v>
      </c>
      <c r="D104" s="4" t="s">
        <v>12</v>
      </c>
      <c r="E104" s="3" t="s">
        <v>523</v>
      </c>
    </row>
    <row r="105">
      <c r="A105" s="4" t="s">
        <v>355</v>
      </c>
      <c r="B105" s="4" t="s">
        <v>520</v>
      </c>
      <c r="C105" s="4" t="s">
        <v>521</v>
      </c>
      <c r="D105" s="4" t="s">
        <v>23</v>
      </c>
      <c r="E105" s="6" t="s">
        <v>524</v>
      </c>
    </row>
    <row r="106">
      <c r="A106" s="4" t="s">
        <v>355</v>
      </c>
      <c r="B106" s="4" t="s">
        <v>525</v>
      </c>
      <c r="C106" s="4" t="s">
        <v>526</v>
      </c>
      <c r="D106" s="4" t="s">
        <v>14</v>
      </c>
      <c r="E106" s="6" t="s">
        <v>527</v>
      </c>
    </row>
    <row r="107">
      <c r="A107" s="4" t="s">
        <v>355</v>
      </c>
      <c r="B107" s="4" t="s">
        <v>525</v>
      </c>
      <c r="C107" s="4" t="s">
        <v>526</v>
      </c>
      <c r="D107" s="4" t="s">
        <v>19</v>
      </c>
      <c r="E107" s="3" t="s">
        <v>528</v>
      </c>
    </row>
    <row r="108">
      <c r="A108" s="4" t="s">
        <v>355</v>
      </c>
      <c r="B108" s="4" t="s">
        <v>525</v>
      </c>
      <c r="C108" s="4" t="s">
        <v>526</v>
      </c>
      <c r="D108" s="4" t="s">
        <v>12</v>
      </c>
      <c r="E108" s="3" t="s">
        <v>529</v>
      </c>
    </row>
    <row r="109">
      <c r="A109" s="4" t="s">
        <v>355</v>
      </c>
      <c r="B109" s="4" t="s">
        <v>525</v>
      </c>
      <c r="C109" s="4" t="s">
        <v>526</v>
      </c>
      <c r="D109" s="4" t="s">
        <v>23</v>
      </c>
      <c r="E109" s="6" t="s">
        <v>530</v>
      </c>
    </row>
    <row r="110">
      <c r="A110" s="4" t="s">
        <v>355</v>
      </c>
      <c r="B110" s="4" t="s">
        <v>531</v>
      </c>
      <c r="C110" s="4" t="s">
        <v>532</v>
      </c>
      <c r="D110" s="4" t="s">
        <v>14</v>
      </c>
      <c r="E110" s="3" t="s">
        <v>533</v>
      </c>
    </row>
    <row r="111">
      <c r="A111" s="4" t="s">
        <v>355</v>
      </c>
      <c r="B111" s="4" t="s">
        <v>531</v>
      </c>
      <c r="C111" s="17" t="s">
        <v>532</v>
      </c>
      <c r="D111" s="4" t="s">
        <v>19</v>
      </c>
      <c r="E111" s="6" t="s">
        <v>534</v>
      </c>
    </row>
    <row r="112">
      <c r="A112" s="4" t="s">
        <v>355</v>
      </c>
      <c r="B112" s="4" t="s">
        <v>531</v>
      </c>
      <c r="C112" s="4" t="s">
        <v>532</v>
      </c>
      <c r="D112" s="4" t="s">
        <v>12</v>
      </c>
      <c r="E112" s="10" t="s">
        <v>535</v>
      </c>
    </row>
    <row r="113">
      <c r="A113" s="4" t="s">
        <v>355</v>
      </c>
      <c r="B113" s="4" t="s">
        <v>531</v>
      </c>
      <c r="C113" s="4" t="s">
        <v>532</v>
      </c>
      <c r="D113" s="4" t="s">
        <v>23</v>
      </c>
      <c r="E113" s="13" t="s">
        <v>536</v>
      </c>
    </row>
    <row r="114">
      <c r="A114" s="4" t="s">
        <v>355</v>
      </c>
      <c r="B114" s="4" t="s">
        <v>531</v>
      </c>
      <c r="C114" s="4" t="s">
        <v>532</v>
      </c>
      <c r="D114" s="4" t="s">
        <v>60</v>
      </c>
      <c r="E114" s="6" t="s">
        <v>537</v>
      </c>
    </row>
    <row r="115">
      <c r="A115" s="4" t="s">
        <v>355</v>
      </c>
      <c r="B115" s="4" t="s">
        <v>538</v>
      </c>
      <c r="C115" s="4" t="s">
        <v>539</v>
      </c>
      <c r="D115" s="4" t="s">
        <v>14</v>
      </c>
      <c r="E115" s="6" t="s">
        <v>540</v>
      </c>
    </row>
    <row r="116">
      <c r="A116" s="4" t="s">
        <v>355</v>
      </c>
      <c r="B116" s="4" t="s">
        <v>538</v>
      </c>
      <c r="C116" s="4" t="s">
        <v>539</v>
      </c>
      <c r="D116" s="4" t="s">
        <v>19</v>
      </c>
      <c r="E116" s="6" t="s">
        <v>541</v>
      </c>
    </row>
    <row r="117">
      <c r="A117" s="4" t="s">
        <v>355</v>
      </c>
      <c r="B117" s="4" t="s">
        <v>538</v>
      </c>
      <c r="C117" s="4" t="s">
        <v>539</v>
      </c>
      <c r="D117" s="4" t="s">
        <v>12</v>
      </c>
      <c r="E117" s="3" t="s">
        <v>542</v>
      </c>
    </row>
    <row r="118">
      <c r="A118" s="4" t="s">
        <v>355</v>
      </c>
      <c r="B118" s="4" t="s">
        <v>538</v>
      </c>
      <c r="C118" s="4" t="s">
        <v>539</v>
      </c>
      <c r="D118" s="4" t="s">
        <v>23</v>
      </c>
      <c r="E118" s="3" t="s">
        <v>543</v>
      </c>
    </row>
    <row r="119">
      <c r="A119" s="4" t="s">
        <v>355</v>
      </c>
      <c r="B119" s="4" t="s">
        <v>538</v>
      </c>
      <c r="C119" s="4" t="s">
        <v>539</v>
      </c>
      <c r="D119" s="4" t="s">
        <v>60</v>
      </c>
      <c r="E119" s="6" t="s">
        <v>544</v>
      </c>
    </row>
    <row r="120">
      <c r="A120" s="4" t="s">
        <v>355</v>
      </c>
      <c r="B120" s="4" t="s">
        <v>545</v>
      </c>
      <c r="C120" s="4" t="s">
        <v>546</v>
      </c>
      <c r="D120" s="4" t="s">
        <v>14</v>
      </c>
      <c r="E120" s="6" t="s">
        <v>547</v>
      </c>
    </row>
    <row r="121">
      <c r="A121" s="4" t="s">
        <v>355</v>
      </c>
      <c r="B121" s="4" t="s">
        <v>545</v>
      </c>
      <c r="C121" s="4" t="s">
        <v>546</v>
      </c>
      <c r="D121" s="4" t="s">
        <v>19</v>
      </c>
      <c r="E121" s="3" t="s">
        <v>548</v>
      </c>
    </row>
    <row r="122">
      <c r="A122" s="4" t="s">
        <v>355</v>
      </c>
      <c r="B122" s="4" t="s">
        <v>545</v>
      </c>
      <c r="C122" s="4" t="s">
        <v>546</v>
      </c>
      <c r="D122" s="4" t="s">
        <v>12</v>
      </c>
      <c r="E122" s="3" t="s">
        <v>549</v>
      </c>
    </row>
    <row r="123">
      <c r="A123" s="4" t="s">
        <v>355</v>
      </c>
      <c r="B123" s="4" t="s">
        <v>545</v>
      </c>
      <c r="C123" s="4" t="s">
        <v>546</v>
      </c>
      <c r="D123" s="4" t="s">
        <v>23</v>
      </c>
      <c r="E123" s="6" t="s">
        <v>550</v>
      </c>
    </row>
    <row r="124">
      <c r="A124" s="4" t="s">
        <v>355</v>
      </c>
      <c r="B124" s="4" t="s">
        <v>551</v>
      </c>
      <c r="C124" s="4" t="s">
        <v>552</v>
      </c>
      <c r="D124" s="4" t="s">
        <v>14</v>
      </c>
      <c r="E124" s="6" t="s">
        <v>553</v>
      </c>
    </row>
    <row r="125">
      <c r="A125" s="4" t="s">
        <v>355</v>
      </c>
      <c r="B125" s="4" t="s">
        <v>551</v>
      </c>
      <c r="C125" s="4" t="s">
        <v>552</v>
      </c>
      <c r="D125" s="4" t="s">
        <v>19</v>
      </c>
      <c r="E125" s="6" t="s">
        <v>554</v>
      </c>
    </row>
    <row r="126">
      <c r="A126" s="4" t="s">
        <v>355</v>
      </c>
      <c r="B126" s="4" t="s">
        <v>551</v>
      </c>
      <c r="C126" s="4" t="s">
        <v>552</v>
      </c>
      <c r="D126" s="4" t="s">
        <v>12</v>
      </c>
      <c r="E126" s="3" t="s">
        <v>555</v>
      </c>
    </row>
    <row r="127">
      <c r="A127" s="4" t="s">
        <v>355</v>
      </c>
      <c r="B127" s="4" t="s">
        <v>551</v>
      </c>
      <c r="C127" s="4" t="s">
        <v>552</v>
      </c>
      <c r="D127" s="4" t="s">
        <v>23</v>
      </c>
      <c r="E127" s="18" t="s">
        <v>556</v>
      </c>
    </row>
    <row r="128">
      <c r="A128" s="4" t="s">
        <v>355</v>
      </c>
      <c r="B128" s="4" t="s">
        <v>551</v>
      </c>
      <c r="C128" s="4" t="s">
        <v>552</v>
      </c>
      <c r="D128" s="4" t="s">
        <v>60</v>
      </c>
      <c r="E128" s="3" t="s">
        <v>557</v>
      </c>
    </row>
    <row r="129">
      <c r="A129" s="4" t="s">
        <v>355</v>
      </c>
      <c r="B129" s="4" t="s">
        <v>551</v>
      </c>
      <c r="C129" s="4" t="s">
        <v>552</v>
      </c>
      <c r="D129" s="4" t="s">
        <v>558</v>
      </c>
      <c r="E129" s="6" t="s">
        <v>559</v>
      </c>
    </row>
    <row r="130">
      <c r="A130" s="4" t="s">
        <v>355</v>
      </c>
      <c r="B130" s="4" t="s">
        <v>560</v>
      </c>
      <c r="C130" s="4" t="s">
        <v>561</v>
      </c>
      <c r="D130" s="4" t="s">
        <v>14</v>
      </c>
      <c r="E130" s="6" t="s">
        <v>562</v>
      </c>
    </row>
    <row r="131">
      <c r="A131" s="4" t="s">
        <v>355</v>
      </c>
      <c r="B131" s="4" t="s">
        <v>563</v>
      </c>
      <c r="C131" s="4" t="s">
        <v>564</v>
      </c>
      <c r="D131" s="4" t="s">
        <v>12</v>
      </c>
      <c r="E131" s="3" t="s">
        <v>565</v>
      </c>
    </row>
    <row r="132">
      <c r="A132" s="4" t="s">
        <v>355</v>
      </c>
      <c r="B132" s="4" t="s">
        <v>560</v>
      </c>
      <c r="C132" s="4" t="s">
        <v>561</v>
      </c>
      <c r="D132" s="4" t="s">
        <v>12</v>
      </c>
      <c r="E132" s="3" t="s">
        <v>566</v>
      </c>
    </row>
    <row r="133">
      <c r="A133" s="4" t="s">
        <v>355</v>
      </c>
      <c r="B133" s="4" t="s">
        <v>563</v>
      </c>
      <c r="C133" s="4" t="s">
        <v>567</v>
      </c>
      <c r="D133" s="4" t="s">
        <v>14</v>
      </c>
      <c r="E133" s="6" t="s">
        <v>568</v>
      </c>
    </row>
    <row r="134">
      <c r="A134" s="4" t="s">
        <v>355</v>
      </c>
      <c r="B134" s="4" t="s">
        <v>563</v>
      </c>
      <c r="C134" s="4" t="s">
        <v>567</v>
      </c>
      <c r="D134" s="4" t="s">
        <v>12</v>
      </c>
      <c r="E134" s="6" t="s">
        <v>569</v>
      </c>
    </row>
    <row r="135">
      <c r="A135" s="4" t="s">
        <v>355</v>
      </c>
      <c r="B135" s="4" t="s">
        <v>570</v>
      </c>
      <c r="C135" s="4" t="s">
        <v>571</v>
      </c>
      <c r="D135" s="4" t="s">
        <v>14</v>
      </c>
      <c r="E135" s="6" t="s">
        <v>572</v>
      </c>
    </row>
    <row r="136">
      <c r="A136" s="4" t="s">
        <v>355</v>
      </c>
      <c r="B136" s="4" t="s">
        <v>570</v>
      </c>
      <c r="C136" s="4" t="s">
        <v>571</v>
      </c>
      <c r="D136" s="4" t="s">
        <v>19</v>
      </c>
      <c r="E136" s="6" t="s">
        <v>573</v>
      </c>
    </row>
    <row r="137">
      <c r="A137" s="4" t="s">
        <v>355</v>
      </c>
      <c r="B137" s="4" t="s">
        <v>570</v>
      </c>
      <c r="C137" s="4" t="s">
        <v>571</v>
      </c>
      <c r="D137" s="4" t="s">
        <v>12</v>
      </c>
      <c r="E137" s="3" t="s">
        <v>574</v>
      </c>
    </row>
    <row r="138">
      <c r="A138" s="4" t="s">
        <v>355</v>
      </c>
      <c r="B138" s="4" t="s">
        <v>570</v>
      </c>
      <c r="C138" s="4" t="s">
        <v>571</v>
      </c>
      <c r="D138" s="4" t="s">
        <v>23</v>
      </c>
      <c r="E138" s="6" t="s">
        <v>575</v>
      </c>
    </row>
    <row r="139">
      <c r="A139" s="4" t="s">
        <v>355</v>
      </c>
      <c r="B139" s="4" t="s">
        <v>576</v>
      </c>
      <c r="C139" s="4" t="s">
        <v>577</v>
      </c>
      <c r="D139" s="4" t="s">
        <v>14</v>
      </c>
      <c r="E139" s="6" t="s">
        <v>578</v>
      </c>
    </row>
    <row r="140">
      <c r="A140" s="4" t="s">
        <v>355</v>
      </c>
      <c r="B140" s="4" t="s">
        <v>579</v>
      </c>
      <c r="C140" s="4" t="s">
        <v>580</v>
      </c>
      <c r="D140" s="4" t="s">
        <v>14</v>
      </c>
      <c r="E140" s="6" t="s">
        <v>581</v>
      </c>
    </row>
    <row r="141">
      <c r="A141" s="4" t="s">
        <v>355</v>
      </c>
      <c r="B141" s="4" t="s">
        <v>579</v>
      </c>
      <c r="C141" s="4" t="s">
        <v>580</v>
      </c>
      <c r="D141" s="4" t="s">
        <v>12</v>
      </c>
      <c r="E141" s="3" t="s">
        <v>582</v>
      </c>
    </row>
    <row r="142">
      <c r="A142" s="4" t="s">
        <v>355</v>
      </c>
      <c r="B142" s="4" t="s">
        <v>583</v>
      </c>
      <c r="C142" s="4" t="s">
        <v>584</v>
      </c>
      <c r="D142" s="4" t="s">
        <v>14</v>
      </c>
      <c r="E142" s="6" t="s">
        <v>585</v>
      </c>
    </row>
    <row r="143">
      <c r="A143" s="4" t="s">
        <v>355</v>
      </c>
      <c r="B143" s="4" t="s">
        <v>583</v>
      </c>
      <c r="C143" s="4" t="s">
        <v>584</v>
      </c>
      <c r="D143" s="4" t="s">
        <v>12</v>
      </c>
      <c r="E143" s="3" t="s">
        <v>586</v>
      </c>
    </row>
    <row r="144">
      <c r="A144" s="4" t="s">
        <v>355</v>
      </c>
      <c r="B144" s="4" t="s">
        <v>151</v>
      </c>
      <c r="C144" s="4" t="s">
        <v>587</v>
      </c>
      <c r="D144" s="4" t="s">
        <v>12</v>
      </c>
      <c r="E144" s="10" t="s">
        <v>588</v>
      </c>
    </row>
    <row r="145">
      <c r="A145" s="4" t="s">
        <v>355</v>
      </c>
      <c r="B145" s="4" t="s">
        <v>151</v>
      </c>
      <c r="C145" s="4" t="s">
        <v>589</v>
      </c>
      <c r="D145" s="4" t="s">
        <v>14</v>
      </c>
      <c r="E145" s="6" t="s">
        <v>590</v>
      </c>
    </row>
    <row r="146">
      <c r="A146" s="4" t="s">
        <v>355</v>
      </c>
      <c r="B146" s="4" t="s">
        <v>151</v>
      </c>
      <c r="C146" s="4" t="s">
        <v>589</v>
      </c>
      <c r="D146" s="4" t="s">
        <v>19</v>
      </c>
      <c r="E146" s="6" t="s">
        <v>591</v>
      </c>
    </row>
    <row r="147">
      <c r="A147" s="4" t="s">
        <v>355</v>
      </c>
      <c r="B147" s="4" t="s">
        <v>151</v>
      </c>
      <c r="C147" s="4" t="s">
        <v>589</v>
      </c>
      <c r="D147" s="4" t="s">
        <v>12</v>
      </c>
      <c r="E147" s="3" t="s">
        <v>592</v>
      </c>
    </row>
    <row r="148">
      <c r="A148" s="4" t="s">
        <v>355</v>
      </c>
      <c r="B148" s="4" t="s">
        <v>151</v>
      </c>
      <c r="C148" s="4" t="s">
        <v>593</v>
      </c>
      <c r="D148" s="4" t="s">
        <v>14</v>
      </c>
      <c r="E148" s="3" t="s">
        <v>594</v>
      </c>
    </row>
    <row r="149">
      <c r="A149" s="4" t="s">
        <v>355</v>
      </c>
      <c r="B149" s="4" t="s">
        <v>151</v>
      </c>
      <c r="C149" s="4" t="s">
        <v>593</v>
      </c>
      <c r="D149" s="4" t="s">
        <v>19</v>
      </c>
      <c r="E149" s="3" t="s">
        <v>595</v>
      </c>
    </row>
    <row r="150">
      <c r="A150" s="4" t="s">
        <v>355</v>
      </c>
      <c r="B150" s="4" t="s">
        <v>151</v>
      </c>
      <c r="C150" s="4" t="s">
        <v>593</v>
      </c>
      <c r="D150" s="4" t="s">
        <v>12</v>
      </c>
      <c r="E150" s="3" t="s">
        <v>596</v>
      </c>
    </row>
    <row r="151">
      <c r="A151" s="4" t="s">
        <v>355</v>
      </c>
      <c r="B151" s="4" t="s">
        <v>151</v>
      </c>
      <c r="C151" s="4" t="s">
        <v>593</v>
      </c>
      <c r="D151" s="4" t="s">
        <v>23</v>
      </c>
      <c r="E151" s="6" t="s">
        <v>597</v>
      </c>
    </row>
    <row r="152">
      <c r="A152" s="4" t="s">
        <v>355</v>
      </c>
      <c r="B152" s="4" t="s">
        <v>151</v>
      </c>
      <c r="C152" s="4" t="s">
        <v>593</v>
      </c>
      <c r="D152" s="4" t="s">
        <v>8</v>
      </c>
      <c r="E152" s="6" t="s">
        <v>598</v>
      </c>
    </row>
    <row r="153">
      <c r="A153" s="4" t="s">
        <v>355</v>
      </c>
      <c r="B153" s="4" t="s">
        <v>599</v>
      </c>
      <c r="C153" s="17" t="s">
        <v>600</v>
      </c>
      <c r="D153" s="4" t="s">
        <v>14</v>
      </c>
      <c r="E153" s="6" t="s">
        <v>601</v>
      </c>
    </row>
    <row r="154">
      <c r="A154" s="4" t="s">
        <v>355</v>
      </c>
      <c r="B154" s="4" t="s">
        <v>599</v>
      </c>
      <c r="C154" s="4" t="s">
        <v>600</v>
      </c>
      <c r="D154" s="4" t="s">
        <v>12</v>
      </c>
      <c r="E154" s="3" t="s">
        <v>602</v>
      </c>
    </row>
    <row r="155">
      <c r="A155" s="4" t="s">
        <v>355</v>
      </c>
      <c r="B155" s="4" t="s">
        <v>603</v>
      </c>
      <c r="C155" s="4" t="s">
        <v>604</v>
      </c>
      <c r="D155" s="4" t="s">
        <v>12</v>
      </c>
      <c r="E155" s="10" t="s">
        <v>605</v>
      </c>
    </row>
    <row r="156">
      <c r="A156" s="4" t="s">
        <v>355</v>
      </c>
      <c r="B156" s="4" t="s">
        <v>603</v>
      </c>
      <c r="C156" s="4" t="s">
        <v>606</v>
      </c>
      <c r="D156" s="4" t="s">
        <v>14</v>
      </c>
      <c r="E156" s="13" t="s">
        <v>607</v>
      </c>
    </row>
    <row r="157">
      <c r="A157" s="4" t="s">
        <v>355</v>
      </c>
      <c r="B157" s="4" t="s">
        <v>603</v>
      </c>
      <c r="C157" s="4" t="s">
        <v>606</v>
      </c>
      <c r="D157" s="4" t="s">
        <v>12</v>
      </c>
      <c r="E157" s="3" t="s">
        <v>608</v>
      </c>
    </row>
    <row r="158">
      <c r="A158" s="4" t="s">
        <v>355</v>
      </c>
      <c r="B158" s="4" t="s">
        <v>609</v>
      </c>
      <c r="C158" s="4" t="s">
        <v>610</v>
      </c>
      <c r="D158" s="4" t="s">
        <v>12</v>
      </c>
      <c r="E158" s="10" t="s">
        <v>611</v>
      </c>
    </row>
    <row r="159">
      <c r="A159" s="4" t="s">
        <v>355</v>
      </c>
      <c r="B159" s="4" t="s">
        <v>609</v>
      </c>
      <c r="C159" s="4" t="s">
        <v>612</v>
      </c>
      <c r="D159" s="4" t="s">
        <v>14</v>
      </c>
      <c r="E159" s="6" t="s">
        <v>613</v>
      </c>
    </row>
    <row r="160">
      <c r="A160" s="4" t="s">
        <v>355</v>
      </c>
      <c r="B160" s="4" t="s">
        <v>609</v>
      </c>
      <c r="C160" s="4" t="s">
        <v>612</v>
      </c>
      <c r="D160" s="4" t="s">
        <v>19</v>
      </c>
      <c r="E160" s="6" t="s">
        <v>614</v>
      </c>
    </row>
    <row r="161">
      <c r="A161" s="4" t="s">
        <v>355</v>
      </c>
      <c r="B161" s="4" t="s">
        <v>609</v>
      </c>
      <c r="C161" s="4" t="s">
        <v>612</v>
      </c>
      <c r="D161" s="4" t="s">
        <v>12</v>
      </c>
      <c r="E161" s="3" t="s">
        <v>615</v>
      </c>
    </row>
    <row r="162">
      <c r="A162" s="4" t="s">
        <v>355</v>
      </c>
      <c r="B162" s="4" t="s">
        <v>609</v>
      </c>
      <c r="C162" s="4" t="s">
        <v>612</v>
      </c>
      <c r="D162" s="4" t="s">
        <v>8</v>
      </c>
      <c r="E162" s="6" t="s">
        <v>616</v>
      </c>
      <c r="F162" s="8"/>
    </row>
    <row r="163">
      <c r="A163" s="4" t="s">
        <v>355</v>
      </c>
      <c r="B163" s="4" t="s">
        <v>609</v>
      </c>
      <c r="C163" s="4" t="s">
        <v>612</v>
      </c>
      <c r="D163" s="4" t="s">
        <v>23</v>
      </c>
      <c r="E163" s="6" t="s">
        <v>617</v>
      </c>
    </row>
    <row r="164">
      <c r="A164" s="4" t="s">
        <v>355</v>
      </c>
      <c r="B164" s="4" t="s">
        <v>618</v>
      </c>
      <c r="C164" s="4" t="s">
        <v>619</v>
      </c>
      <c r="D164" s="4" t="s">
        <v>14</v>
      </c>
      <c r="E164" s="6" t="s">
        <v>620</v>
      </c>
    </row>
    <row r="165">
      <c r="A165" s="4" t="s">
        <v>355</v>
      </c>
      <c r="B165" s="4" t="s">
        <v>618</v>
      </c>
      <c r="C165" s="4" t="s">
        <v>619</v>
      </c>
      <c r="D165" s="4" t="s">
        <v>12</v>
      </c>
      <c r="E165" s="3" t="s">
        <v>621</v>
      </c>
    </row>
    <row r="166">
      <c r="A166" s="4" t="s">
        <v>355</v>
      </c>
      <c r="B166" s="4" t="s">
        <v>622</v>
      </c>
      <c r="C166" s="4" t="s">
        <v>623</v>
      </c>
      <c r="D166" s="4" t="s">
        <v>14</v>
      </c>
      <c r="E166" s="6" t="s">
        <v>624</v>
      </c>
    </row>
    <row r="167">
      <c r="A167" s="4" t="s">
        <v>355</v>
      </c>
      <c r="B167" s="4" t="s">
        <v>622</v>
      </c>
      <c r="C167" s="4" t="s">
        <v>623</v>
      </c>
      <c r="D167" s="4" t="s">
        <v>19</v>
      </c>
      <c r="E167" s="6" t="s">
        <v>625</v>
      </c>
    </row>
    <row r="168">
      <c r="A168" s="4" t="s">
        <v>355</v>
      </c>
      <c r="B168" s="4" t="s">
        <v>622</v>
      </c>
      <c r="C168" s="4" t="s">
        <v>623</v>
      </c>
      <c r="D168" s="4" t="s">
        <v>12</v>
      </c>
      <c r="E168" s="3" t="s">
        <v>626</v>
      </c>
    </row>
    <row r="169">
      <c r="A169" s="4" t="s">
        <v>355</v>
      </c>
      <c r="B169" s="4" t="s">
        <v>622</v>
      </c>
      <c r="C169" s="4" t="s">
        <v>623</v>
      </c>
      <c r="D169" s="4" t="s">
        <v>60</v>
      </c>
      <c r="E169" s="3" t="s">
        <v>627</v>
      </c>
    </row>
    <row r="170">
      <c r="A170" s="4" t="s">
        <v>355</v>
      </c>
      <c r="B170" s="4" t="s">
        <v>6</v>
      </c>
      <c r="C170" s="4" t="s">
        <v>628</v>
      </c>
      <c r="D170" s="4" t="s">
        <v>12</v>
      </c>
      <c r="E170" s="3" t="s">
        <v>629</v>
      </c>
    </row>
    <row r="171">
      <c r="A171" s="4" t="s">
        <v>355</v>
      </c>
      <c r="B171" s="4" t="s">
        <v>6</v>
      </c>
      <c r="C171" s="4" t="s">
        <v>630</v>
      </c>
      <c r="D171" s="4" t="s">
        <v>14</v>
      </c>
      <c r="E171" s="6" t="s">
        <v>631</v>
      </c>
    </row>
    <row r="172">
      <c r="A172" s="4" t="s">
        <v>355</v>
      </c>
      <c r="B172" s="4" t="s">
        <v>6</v>
      </c>
      <c r="C172" s="4" t="s">
        <v>632</v>
      </c>
      <c r="D172" s="4" t="s">
        <v>12</v>
      </c>
      <c r="E172" s="6" t="s">
        <v>633</v>
      </c>
    </row>
    <row r="173">
      <c r="A173" s="4" t="s">
        <v>355</v>
      </c>
      <c r="B173" s="4" t="s">
        <v>6</v>
      </c>
      <c r="C173" s="4" t="s">
        <v>634</v>
      </c>
      <c r="D173" s="4" t="s">
        <v>14</v>
      </c>
      <c r="E173" s="6" t="s">
        <v>635</v>
      </c>
    </row>
    <row r="174">
      <c r="A174" s="4" t="s">
        <v>355</v>
      </c>
      <c r="B174" s="4" t="s">
        <v>6</v>
      </c>
      <c r="C174" s="4" t="s">
        <v>634</v>
      </c>
      <c r="D174" s="4" t="s">
        <v>12</v>
      </c>
      <c r="E174" s="3" t="s">
        <v>636</v>
      </c>
    </row>
    <row r="175">
      <c r="A175" s="19" t="s">
        <v>355</v>
      </c>
      <c r="B175" s="4" t="s">
        <v>6</v>
      </c>
      <c r="C175" s="4" t="s">
        <v>634</v>
      </c>
      <c r="D175" s="4" t="s">
        <v>23</v>
      </c>
      <c r="E175" s="6" t="s">
        <v>637</v>
      </c>
      <c r="F175" s="8"/>
    </row>
    <row r="176">
      <c r="A176" s="4" t="s">
        <v>355</v>
      </c>
      <c r="B176" s="4" t="s">
        <v>6</v>
      </c>
      <c r="C176" s="4" t="s">
        <v>634</v>
      </c>
      <c r="D176" s="4" t="s">
        <v>8</v>
      </c>
      <c r="E176" s="6" t="s">
        <v>638</v>
      </c>
    </row>
    <row r="177">
      <c r="A177" s="4" t="s">
        <v>355</v>
      </c>
      <c r="B177" s="4" t="s">
        <v>639</v>
      </c>
      <c r="C177" s="4" t="s">
        <v>640</v>
      </c>
      <c r="D177" s="4" t="s">
        <v>14</v>
      </c>
      <c r="E177" s="6" t="s">
        <v>641</v>
      </c>
    </row>
    <row r="178">
      <c r="A178" s="4" t="s">
        <v>355</v>
      </c>
      <c r="B178" s="4" t="s">
        <v>639</v>
      </c>
      <c r="C178" s="4" t="s">
        <v>640</v>
      </c>
      <c r="D178" s="4" t="s">
        <v>12</v>
      </c>
      <c r="E178" s="3" t="s">
        <v>642</v>
      </c>
    </row>
    <row r="179">
      <c r="A179" s="4" t="s">
        <v>355</v>
      </c>
      <c r="B179" s="4" t="s">
        <v>639</v>
      </c>
      <c r="C179" s="4" t="s">
        <v>640</v>
      </c>
      <c r="D179" s="4" t="s">
        <v>23</v>
      </c>
      <c r="E179" s="6" t="s">
        <v>643</v>
      </c>
    </row>
    <row r="180">
      <c r="A180" s="4" t="s">
        <v>355</v>
      </c>
      <c r="B180" s="4" t="s">
        <v>644</v>
      </c>
      <c r="C180" s="4" t="s">
        <v>645</v>
      </c>
      <c r="D180" s="4" t="s">
        <v>14</v>
      </c>
      <c r="E180" s="6" t="s">
        <v>646</v>
      </c>
    </row>
    <row r="181">
      <c r="A181" s="4" t="s">
        <v>355</v>
      </c>
      <c r="B181" s="4" t="s">
        <v>644</v>
      </c>
      <c r="C181" s="4" t="s">
        <v>645</v>
      </c>
      <c r="D181" s="4" t="s">
        <v>12</v>
      </c>
      <c r="E181" s="10" t="s">
        <v>647</v>
      </c>
    </row>
    <row r="182">
      <c r="A182" s="4" t="s">
        <v>355</v>
      </c>
      <c r="B182" s="4" t="s">
        <v>644</v>
      </c>
      <c r="C182" s="4" t="s">
        <v>645</v>
      </c>
      <c r="D182" s="4" t="s">
        <v>23</v>
      </c>
      <c r="E182" s="6" t="s">
        <v>648</v>
      </c>
    </row>
    <row r="183">
      <c r="A183" s="2"/>
      <c r="B183" s="2"/>
      <c r="C183" s="2"/>
      <c r="D183" s="2"/>
      <c r="E183" s="20"/>
    </row>
    <row r="184">
      <c r="A184" s="2"/>
      <c r="B184" s="2"/>
      <c r="C184" s="2"/>
      <c r="D184" s="2"/>
      <c r="E184" s="20"/>
    </row>
    <row r="185">
      <c r="A185" s="2"/>
      <c r="B185" s="2"/>
      <c r="C185" s="2"/>
      <c r="D185" s="2"/>
      <c r="E185" s="20"/>
    </row>
    <row r="186">
      <c r="A186" s="2"/>
      <c r="B186" s="2"/>
      <c r="C186" s="2"/>
      <c r="D186" s="2"/>
      <c r="E186" s="20"/>
    </row>
    <row r="187">
      <c r="A187" s="2"/>
      <c r="B187" s="2"/>
      <c r="C187" s="2"/>
      <c r="D187" s="2"/>
      <c r="E187" s="20"/>
    </row>
    <row r="188">
      <c r="A188" s="2"/>
      <c r="B188" s="2"/>
      <c r="C188" s="2"/>
      <c r="D188" s="2"/>
      <c r="E188" s="20"/>
    </row>
    <row r="189">
      <c r="A189" s="2"/>
      <c r="B189" s="2"/>
      <c r="C189" s="2"/>
      <c r="D189" s="2"/>
      <c r="E189" s="20"/>
    </row>
    <row r="190">
      <c r="A190" s="2"/>
      <c r="B190" s="2"/>
      <c r="C190" s="2"/>
      <c r="D190" s="2"/>
      <c r="E190" s="20"/>
    </row>
    <row r="191">
      <c r="A191" s="2"/>
      <c r="B191" s="2"/>
      <c r="C191" s="2"/>
      <c r="D191" s="2"/>
      <c r="E191" s="20"/>
    </row>
    <row r="192">
      <c r="A192" s="2"/>
      <c r="B192" s="2"/>
      <c r="C192" s="2"/>
      <c r="D192" s="2"/>
      <c r="E192" s="20"/>
    </row>
    <row r="193">
      <c r="A193" s="2"/>
      <c r="B193" s="2"/>
      <c r="C193" s="2"/>
      <c r="D193" s="2"/>
      <c r="E193" s="20"/>
    </row>
    <row r="194">
      <c r="A194" s="2"/>
      <c r="B194" s="2"/>
      <c r="C194" s="2"/>
      <c r="D194" s="2"/>
      <c r="E194" s="20"/>
    </row>
    <row r="195">
      <c r="A195" s="2"/>
      <c r="B195" s="2"/>
      <c r="C195" s="2"/>
      <c r="D195" s="2"/>
      <c r="E195" s="20"/>
    </row>
    <row r="196">
      <c r="A196" s="2"/>
      <c r="B196" s="2"/>
      <c r="C196" s="2"/>
      <c r="D196" s="2"/>
      <c r="E196" s="20"/>
    </row>
    <row r="197">
      <c r="A197" s="2"/>
      <c r="B197" s="2"/>
      <c r="C197" s="2"/>
      <c r="D197" s="2"/>
      <c r="E197" s="20"/>
    </row>
    <row r="198">
      <c r="A198" s="2"/>
      <c r="B198" s="2"/>
      <c r="C198" s="2"/>
      <c r="D198" s="2"/>
      <c r="E198" s="21"/>
    </row>
    <row r="199">
      <c r="A199" s="2"/>
      <c r="B199" s="2"/>
      <c r="C199" s="2"/>
      <c r="D199" s="2"/>
      <c r="E199" s="20"/>
    </row>
    <row r="200">
      <c r="A200" s="2"/>
      <c r="B200" s="2"/>
      <c r="C200" s="2"/>
      <c r="D200" s="2"/>
      <c r="E200" s="20"/>
    </row>
    <row r="201">
      <c r="A201" s="2"/>
      <c r="B201" s="2"/>
      <c r="C201" s="2"/>
      <c r="D201" s="2"/>
      <c r="E201" s="20"/>
    </row>
    <row r="202">
      <c r="A202" s="2"/>
      <c r="B202" s="2"/>
      <c r="C202" s="2"/>
      <c r="D202" s="2"/>
      <c r="E202" s="20"/>
    </row>
    <row r="203">
      <c r="A203" s="2"/>
      <c r="B203" s="2"/>
      <c r="C203" s="2"/>
      <c r="D203" s="2"/>
      <c r="E203" s="20"/>
    </row>
    <row r="204">
      <c r="A204" s="2"/>
      <c r="B204" s="2"/>
      <c r="C204" s="2"/>
      <c r="D204" s="2"/>
      <c r="E204" s="20"/>
    </row>
    <row r="205">
      <c r="A205" s="2"/>
      <c r="B205" s="2"/>
      <c r="C205" s="2"/>
      <c r="D205" s="2"/>
      <c r="E205" s="20"/>
    </row>
    <row r="206">
      <c r="A206" s="2"/>
      <c r="B206" s="2"/>
      <c r="C206" s="2"/>
      <c r="D206" s="2"/>
      <c r="E206" s="20"/>
    </row>
    <row r="207">
      <c r="A207" s="2"/>
      <c r="B207" s="2"/>
      <c r="C207" s="2"/>
      <c r="D207" s="2"/>
      <c r="E207" s="20"/>
    </row>
    <row r="208">
      <c r="A208" s="2"/>
      <c r="B208" s="2"/>
      <c r="C208" s="2"/>
      <c r="D208" s="2"/>
      <c r="E208" s="20"/>
    </row>
    <row r="209">
      <c r="A209" s="2"/>
      <c r="B209" s="2"/>
      <c r="C209" s="2"/>
      <c r="D209" s="2"/>
      <c r="E209" s="20"/>
    </row>
    <row r="210">
      <c r="A210" s="2"/>
      <c r="B210" s="2"/>
      <c r="C210" s="2"/>
      <c r="D210" s="2"/>
      <c r="E210" s="20"/>
    </row>
    <row r="211">
      <c r="A211" s="2"/>
      <c r="B211" s="2"/>
      <c r="C211" s="2"/>
      <c r="D211" s="2"/>
      <c r="E211" s="20"/>
    </row>
    <row r="212">
      <c r="A212" s="2"/>
      <c r="B212" s="2"/>
      <c r="C212" s="2"/>
      <c r="D212" s="2"/>
      <c r="E212" s="20"/>
    </row>
    <row r="213">
      <c r="A213" s="2"/>
      <c r="B213" s="2"/>
      <c r="C213" s="2"/>
      <c r="D213" s="2"/>
      <c r="E213" s="20"/>
    </row>
    <row r="214">
      <c r="A214" s="2"/>
      <c r="B214" s="2"/>
      <c r="C214" s="2"/>
      <c r="D214" s="2"/>
      <c r="E214" s="20"/>
    </row>
    <row r="215">
      <c r="A215" s="2"/>
      <c r="B215" s="2"/>
      <c r="C215" s="2"/>
      <c r="D215" s="2"/>
      <c r="E215" s="20"/>
    </row>
    <row r="216">
      <c r="A216" s="2"/>
      <c r="B216" s="2"/>
      <c r="C216" s="2"/>
      <c r="D216" s="2"/>
      <c r="E216" s="20"/>
    </row>
    <row r="217">
      <c r="A217" s="2"/>
      <c r="B217" s="2"/>
      <c r="C217" s="2"/>
      <c r="D217" s="2"/>
      <c r="E217" s="20"/>
    </row>
    <row r="218">
      <c r="A218" s="2"/>
      <c r="B218" s="2"/>
      <c r="C218" s="2"/>
      <c r="D218" s="2"/>
      <c r="E218" s="20"/>
    </row>
    <row r="219">
      <c r="A219" s="2"/>
      <c r="B219" s="2"/>
      <c r="C219" s="2"/>
      <c r="D219" s="2"/>
      <c r="E219" s="20"/>
    </row>
    <row r="220">
      <c r="A220" s="2"/>
      <c r="B220" s="2"/>
      <c r="C220" s="2"/>
      <c r="D220" s="2"/>
      <c r="E220" s="20"/>
    </row>
    <row r="221">
      <c r="A221" s="2"/>
      <c r="B221" s="2"/>
      <c r="C221" s="2"/>
      <c r="D221" s="2"/>
      <c r="E221" s="20"/>
    </row>
    <row r="222">
      <c r="A222" s="2"/>
      <c r="B222" s="2"/>
      <c r="C222" s="2"/>
      <c r="D222" s="2"/>
      <c r="E222" s="20"/>
    </row>
    <row r="223">
      <c r="A223" s="2"/>
      <c r="B223" s="2"/>
      <c r="C223" s="2"/>
      <c r="D223" s="2"/>
      <c r="E223" s="20"/>
    </row>
    <row r="224">
      <c r="A224" s="2"/>
      <c r="B224" s="2"/>
      <c r="C224" s="2"/>
      <c r="D224" s="2"/>
      <c r="E224" s="20"/>
    </row>
    <row r="225">
      <c r="A225" s="2"/>
      <c r="B225" s="2"/>
      <c r="C225" s="2"/>
      <c r="D225" s="2"/>
      <c r="E225" s="20"/>
    </row>
    <row r="226">
      <c r="A226" s="2"/>
      <c r="B226" s="2"/>
      <c r="C226" s="2"/>
      <c r="D226" s="2"/>
      <c r="E226" s="20"/>
    </row>
    <row r="227">
      <c r="A227" s="2"/>
      <c r="B227" s="2"/>
      <c r="C227" s="2"/>
      <c r="D227" s="2"/>
      <c r="E227" s="20"/>
    </row>
    <row r="228">
      <c r="A228" s="2"/>
      <c r="B228" s="2"/>
      <c r="C228" s="2"/>
      <c r="D228" s="2"/>
      <c r="E228" s="20"/>
    </row>
    <row r="229">
      <c r="A229" s="2"/>
      <c r="B229" s="2"/>
      <c r="C229" s="2"/>
      <c r="D229" s="2"/>
      <c r="E229" s="20"/>
    </row>
    <row r="230">
      <c r="A230" s="2"/>
      <c r="B230" s="2"/>
      <c r="C230" s="2"/>
      <c r="D230" s="2"/>
      <c r="E230" s="20"/>
    </row>
    <row r="231">
      <c r="A231" s="2"/>
      <c r="B231" s="2"/>
      <c r="C231" s="2"/>
      <c r="D231" s="2"/>
      <c r="E231" s="20"/>
    </row>
    <row r="232">
      <c r="A232" s="2"/>
      <c r="B232" s="2"/>
      <c r="C232" s="2"/>
      <c r="D232" s="2"/>
      <c r="E232" s="20"/>
    </row>
    <row r="233">
      <c r="A233" s="2"/>
      <c r="B233" s="2"/>
      <c r="C233" s="2"/>
      <c r="D233" s="2"/>
      <c r="E233" s="20"/>
    </row>
    <row r="234">
      <c r="A234" s="2"/>
      <c r="B234" s="2"/>
      <c r="C234" s="2"/>
      <c r="D234" s="2"/>
      <c r="E234" s="20"/>
    </row>
    <row r="235">
      <c r="A235" s="2"/>
      <c r="B235" s="2"/>
      <c r="C235" s="2"/>
      <c r="D235" s="2"/>
      <c r="E235" s="20"/>
    </row>
    <row r="236">
      <c r="A236" s="2"/>
      <c r="B236" s="2"/>
      <c r="C236" s="2"/>
      <c r="D236" s="2"/>
      <c r="E236" s="20"/>
    </row>
    <row r="237">
      <c r="A237" s="2"/>
      <c r="B237" s="2"/>
      <c r="C237" s="2"/>
      <c r="D237" s="2"/>
      <c r="E237" s="20"/>
    </row>
    <row r="238">
      <c r="A238" s="2"/>
      <c r="B238" s="2"/>
      <c r="C238" s="2"/>
      <c r="D238" s="2"/>
      <c r="E238" s="20"/>
    </row>
    <row r="239">
      <c r="A239" s="2"/>
      <c r="B239" s="2"/>
      <c r="C239" s="2"/>
      <c r="D239" s="2"/>
      <c r="E239" s="20"/>
    </row>
    <row r="240">
      <c r="A240" s="2"/>
      <c r="B240" s="2"/>
      <c r="C240" s="2"/>
      <c r="D240" s="2"/>
      <c r="E240" s="20"/>
    </row>
    <row r="241">
      <c r="A241" s="2"/>
      <c r="B241" s="2"/>
      <c r="C241" s="22"/>
      <c r="D241" s="2"/>
      <c r="E241" s="20"/>
    </row>
    <row r="242">
      <c r="A242" s="2"/>
      <c r="B242" s="2"/>
      <c r="C242" s="22"/>
      <c r="D242" s="2"/>
      <c r="E242" s="20"/>
    </row>
    <row r="243">
      <c r="A243" s="2"/>
      <c r="B243" s="2"/>
      <c r="C243" s="22"/>
      <c r="D243" s="2"/>
      <c r="E243" s="20"/>
    </row>
    <row r="244">
      <c r="A244" s="2"/>
      <c r="B244" s="2"/>
      <c r="C244" s="2"/>
      <c r="D244" s="2"/>
      <c r="E244" s="20"/>
    </row>
    <row r="245">
      <c r="A245" s="2"/>
      <c r="B245" s="2"/>
      <c r="C245" s="2"/>
      <c r="D245" s="2"/>
      <c r="E245" s="20"/>
    </row>
    <row r="246">
      <c r="A246" s="2"/>
      <c r="B246" s="2"/>
      <c r="C246" s="2"/>
      <c r="D246" s="2"/>
      <c r="E246" s="20"/>
    </row>
    <row r="247">
      <c r="A247" s="2"/>
      <c r="B247" s="2"/>
      <c r="C247" s="2"/>
      <c r="D247" s="2"/>
      <c r="E247" s="20"/>
    </row>
    <row r="248">
      <c r="A248" s="2"/>
      <c r="B248" s="2"/>
      <c r="C248" s="2"/>
      <c r="D248" s="2"/>
      <c r="E248" s="20"/>
    </row>
    <row r="249">
      <c r="A249" s="2"/>
      <c r="B249" s="2"/>
      <c r="C249" s="2"/>
      <c r="D249" s="2"/>
      <c r="E249" s="20"/>
    </row>
    <row r="250">
      <c r="A250" s="2"/>
      <c r="B250" s="2"/>
      <c r="C250" s="2"/>
      <c r="D250" s="2"/>
      <c r="E250" s="20"/>
    </row>
    <row r="251">
      <c r="A251" s="2"/>
      <c r="B251" s="2"/>
      <c r="C251" s="2"/>
      <c r="D251" s="2"/>
      <c r="E251" s="20"/>
    </row>
    <row r="252">
      <c r="A252" s="2"/>
      <c r="B252" s="2"/>
      <c r="C252" s="2"/>
      <c r="D252" s="2"/>
      <c r="E252" s="20"/>
    </row>
    <row r="253">
      <c r="A253" s="2"/>
      <c r="B253" s="2"/>
      <c r="C253" s="2"/>
      <c r="D253" s="2"/>
      <c r="E253" s="20"/>
    </row>
    <row r="254">
      <c r="A254" s="2"/>
      <c r="B254" s="2"/>
      <c r="C254" s="2"/>
      <c r="D254" s="2"/>
      <c r="E254" s="20"/>
    </row>
    <row r="255">
      <c r="A255" s="2"/>
      <c r="B255" s="2"/>
      <c r="C255" s="2"/>
      <c r="D255" s="2"/>
      <c r="E255" s="20"/>
    </row>
    <row r="256">
      <c r="A256" s="2"/>
      <c r="B256" s="2"/>
      <c r="C256" s="22"/>
      <c r="D256" s="2"/>
      <c r="E256" s="20"/>
    </row>
    <row r="257">
      <c r="A257" s="2"/>
      <c r="B257" s="2"/>
      <c r="C257" s="2"/>
      <c r="D257" s="2"/>
      <c r="E257" s="20"/>
    </row>
    <row r="258">
      <c r="A258" s="2"/>
      <c r="B258" s="2"/>
      <c r="C258" s="2"/>
      <c r="D258" s="2"/>
      <c r="E258" s="20"/>
    </row>
  </sheetData>
  <autoFilter ref="$A$1:$Z$182"/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  <hyperlink r:id="rId134" ref="E135"/>
    <hyperlink r:id="rId135" ref="E136"/>
    <hyperlink r:id="rId136" ref="E137"/>
    <hyperlink r:id="rId137" ref="E138"/>
    <hyperlink r:id="rId138" ref="E139"/>
    <hyperlink r:id="rId139" ref="E140"/>
    <hyperlink r:id="rId140" ref="E141"/>
    <hyperlink r:id="rId141" ref="E142"/>
    <hyperlink r:id="rId142" ref="E143"/>
    <hyperlink r:id="rId143" ref="E144"/>
    <hyperlink r:id="rId144" ref="E145"/>
    <hyperlink r:id="rId145" ref="E146"/>
    <hyperlink r:id="rId146" ref="E147"/>
    <hyperlink r:id="rId147" ref="E148"/>
    <hyperlink r:id="rId148" ref="E149"/>
    <hyperlink r:id="rId149" ref="E150"/>
    <hyperlink r:id="rId150" ref="E151"/>
    <hyperlink r:id="rId151" ref="E152"/>
    <hyperlink r:id="rId152" ref="E153"/>
    <hyperlink r:id="rId153" ref="E154"/>
    <hyperlink r:id="rId154" ref="E155"/>
    <hyperlink r:id="rId155" ref="E156"/>
    <hyperlink r:id="rId156" ref="E157"/>
    <hyperlink r:id="rId157" ref="E158"/>
    <hyperlink r:id="rId158" ref="E159"/>
    <hyperlink r:id="rId159" ref="E160"/>
    <hyperlink r:id="rId160" ref="E161"/>
    <hyperlink r:id="rId161" ref="E162"/>
    <hyperlink r:id="rId162" ref="E163"/>
    <hyperlink r:id="rId163" ref="E164"/>
    <hyperlink r:id="rId164" ref="E165"/>
    <hyperlink r:id="rId165" ref="E166"/>
    <hyperlink r:id="rId166" ref="E167"/>
    <hyperlink r:id="rId167" ref="E168"/>
    <hyperlink r:id="rId168" ref="E169"/>
    <hyperlink r:id="rId169" ref="E170"/>
    <hyperlink r:id="rId170" ref="E171"/>
    <hyperlink r:id="rId171" ref="E172"/>
    <hyperlink r:id="rId172" ref="E173"/>
    <hyperlink r:id="rId173" ref="E174"/>
    <hyperlink r:id="rId174" ref="E175"/>
    <hyperlink r:id="rId175" ref="E176"/>
    <hyperlink r:id="rId176" ref="E177"/>
    <hyperlink r:id="rId177" ref="E178"/>
    <hyperlink r:id="rId178" ref="E179"/>
    <hyperlink r:id="rId179" ref="E180"/>
    <hyperlink r:id="rId180" ref="E181"/>
    <hyperlink r:id="rId181" ref="E182"/>
  </hyperlinks>
  <drawing r:id="rId18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28.88"/>
    <col customWidth="1" min="3" max="3" width="42.13"/>
    <col customWidth="1" min="5" max="5" width="69.38"/>
  </cols>
  <sheetData>
    <row r="1">
      <c r="A1" s="1" t="s">
        <v>0</v>
      </c>
      <c r="B1" s="1" t="s">
        <v>1</v>
      </c>
      <c r="C1" s="23" t="s">
        <v>2</v>
      </c>
      <c r="D1" s="1" t="s">
        <v>3</v>
      </c>
      <c r="E1" s="1" t="s">
        <v>4</v>
      </c>
    </row>
    <row r="2">
      <c r="A2" s="4" t="s">
        <v>649</v>
      </c>
      <c r="B2" s="4" t="s">
        <v>650</v>
      </c>
      <c r="C2" s="24" t="s">
        <v>651</v>
      </c>
      <c r="D2" s="4" t="s">
        <v>14</v>
      </c>
      <c r="E2" s="3" t="s">
        <v>652</v>
      </c>
    </row>
    <row r="3">
      <c r="A3" s="4" t="s">
        <v>649</v>
      </c>
      <c r="B3" s="4" t="s">
        <v>650</v>
      </c>
      <c r="C3" s="24" t="s">
        <v>651</v>
      </c>
      <c r="D3" s="4" t="s">
        <v>19</v>
      </c>
      <c r="E3" s="6" t="s">
        <v>653</v>
      </c>
    </row>
    <row r="4">
      <c r="A4" s="4" t="s">
        <v>649</v>
      </c>
      <c r="B4" s="4" t="s">
        <v>650</v>
      </c>
      <c r="C4" s="24" t="s">
        <v>654</v>
      </c>
      <c r="D4" s="4" t="s">
        <v>14</v>
      </c>
      <c r="E4" s="10" t="s">
        <v>655</v>
      </c>
    </row>
    <row r="5">
      <c r="A5" s="4" t="s">
        <v>649</v>
      </c>
      <c r="B5" s="4" t="s">
        <v>650</v>
      </c>
      <c r="C5" s="24" t="s">
        <v>654</v>
      </c>
      <c r="D5" s="4" t="s">
        <v>19</v>
      </c>
      <c r="E5" s="6" t="s">
        <v>656</v>
      </c>
    </row>
    <row r="6">
      <c r="A6" s="4" t="s">
        <v>649</v>
      </c>
      <c r="B6" s="4" t="s">
        <v>650</v>
      </c>
      <c r="C6" s="24" t="s">
        <v>657</v>
      </c>
      <c r="D6" s="4" t="s">
        <v>14</v>
      </c>
      <c r="E6" s="10" t="s">
        <v>658</v>
      </c>
    </row>
    <row r="7">
      <c r="A7" s="4" t="s">
        <v>649</v>
      </c>
      <c r="B7" s="4" t="s">
        <v>650</v>
      </c>
      <c r="C7" s="24" t="s">
        <v>657</v>
      </c>
      <c r="D7" s="4" t="s">
        <v>19</v>
      </c>
      <c r="E7" s="6" t="s">
        <v>659</v>
      </c>
    </row>
    <row r="8">
      <c r="A8" s="4" t="s">
        <v>649</v>
      </c>
      <c r="B8" s="4" t="s">
        <v>650</v>
      </c>
      <c r="C8" s="24" t="s">
        <v>660</v>
      </c>
      <c r="D8" s="4" t="s">
        <v>14</v>
      </c>
      <c r="E8" s="10" t="s">
        <v>661</v>
      </c>
    </row>
    <row r="9">
      <c r="A9" s="4" t="s">
        <v>649</v>
      </c>
      <c r="B9" s="4" t="s">
        <v>650</v>
      </c>
      <c r="C9" s="24" t="s">
        <v>660</v>
      </c>
      <c r="D9" s="4" t="s">
        <v>60</v>
      </c>
      <c r="E9" s="6" t="s">
        <v>662</v>
      </c>
    </row>
    <row r="10">
      <c r="A10" s="4" t="s">
        <v>649</v>
      </c>
      <c r="B10" s="4" t="s">
        <v>650</v>
      </c>
      <c r="C10" s="24" t="s">
        <v>660</v>
      </c>
      <c r="D10" s="4" t="s">
        <v>19</v>
      </c>
      <c r="E10" s="6" t="s">
        <v>663</v>
      </c>
    </row>
    <row r="11">
      <c r="A11" s="4" t="s">
        <v>649</v>
      </c>
      <c r="B11" s="4" t="s">
        <v>650</v>
      </c>
      <c r="C11" s="24" t="s">
        <v>660</v>
      </c>
      <c r="D11" s="4" t="s">
        <v>8</v>
      </c>
      <c r="E11" s="6" t="s">
        <v>664</v>
      </c>
    </row>
    <row r="12">
      <c r="A12" s="4" t="s">
        <v>649</v>
      </c>
      <c r="B12" s="4" t="s">
        <v>650</v>
      </c>
      <c r="C12" s="24" t="s">
        <v>660</v>
      </c>
      <c r="D12" s="4" t="s">
        <v>12</v>
      </c>
      <c r="E12" s="10" t="s">
        <v>665</v>
      </c>
    </row>
    <row r="13">
      <c r="A13" s="4" t="s">
        <v>649</v>
      </c>
      <c r="B13" s="4" t="s">
        <v>650</v>
      </c>
      <c r="C13" s="24" t="s">
        <v>660</v>
      </c>
      <c r="D13" s="4" t="s">
        <v>23</v>
      </c>
      <c r="E13" s="10" t="s">
        <v>666</v>
      </c>
    </row>
    <row r="14">
      <c r="A14" s="4" t="s">
        <v>649</v>
      </c>
      <c r="B14" s="4" t="s">
        <v>667</v>
      </c>
      <c r="C14" s="24" t="s">
        <v>668</v>
      </c>
      <c r="D14" s="4" t="s">
        <v>14</v>
      </c>
      <c r="E14" s="10" t="s">
        <v>669</v>
      </c>
    </row>
    <row r="15">
      <c r="A15" s="4" t="s">
        <v>649</v>
      </c>
      <c r="B15" s="4" t="s">
        <v>667</v>
      </c>
      <c r="C15" s="24" t="s">
        <v>668</v>
      </c>
      <c r="D15" s="4" t="s">
        <v>19</v>
      </c>
      <c r="E15" s="10" t="s">
        <v>670</v>
      </c>
    </row>
    <row r="16">
      <c r="A16" s="4" t="s">
        <v>649</v>
      </c>
      <c r="B16" s="4" t="s">
        <v>667</v>
      </c>
      <c r="C16" s="24" t="s">
        <v>668</v>
      </c>
      <c r="D16" s="4" t="s">
        <v>12</v>
      </c>
      <c r="E16" s="3" t="s">
        <v>671</v>
      </c>
    </row>
    <row r="17">
      <c r="A17" s="4" t="s">
        <v>649</v>
      </c>
      <c r="B17" s="4" t="s">
        <v>667</v>
      </c>
      <c r="C17" s="24" t="s">
        <v>668</v>
      </c>
      <c r="D17" s="4" t="s">
        <v>23</v>
      </c>
      <c r="E17" s="6" t="s">
        <v>672</v>
      </c>
    </row>
    <row r="18">
      <c r="A18" s="4" t="s">
        <v>649</v>
      </c>
      <c r="B18" s="4" t="s">
        <v>673</v>
      </c>
      <c r="C18" s="24" t="s">
        <v>674</v>
      </c>
      <c r="D18" s="4" t="s">
        <v>14</v>
      </c>
      <c r="E18" s="3" t="s">
        <v>675</v>
      </c>
    </row>
    <row r="19">
      <c r="A19" s="4" t="s">
        <v>649</v>
      </c>
      <c r="B19" s="4" t="s">
        <v>673</v>
      </c>
      <c r="C19" s="24" t="s">
        <v>674</v>
      </c>
      <c r="D19" s="4" t="s">
        <v>19</v>
      </c>
      <c r="E19" s="10" t="s">
        <v>676</v>
      </c>
    </row>
    <row r="20">
      <c r="A20" s="4" t="s">
        <v>649</v>
      </c>
      <c r="B20" s="4" t="s">
        <v>673</v>
      </c>
      <c r="C20" s="24" t="s">
        <v>674</v>
      </c>
      <c r="D20" s="4" t="s">
        <v>8</v>
      </c>
      <c r="E20" s="13" t="s">
        <v>677</v>
      </c>
    </row>
    <row r="21">
      <c r="A21" s="4" t="s">
        <v>649</v>
      </c>
      <c r="B21" s="4" t="s">
        <v>673</v>
      </c>
      <c r="C21" s="24" t="s">
        <v>674</v>
      </c>
      <c r="D21" s="4" t="s">
        <v>12</v>
      </c>
      <c r="E21" s="3" t="s">
        <v>678</v>
      </c>
    </row>
    <row r="22">
      <c r="A22" s="4" t="s">
        <v>649</v>
      </c>
      <c r="B22" s="4" t="s">
        <v>673</v>
      </c>
      <c r="C22" s="24" t="s">
        <v>679</v>
      </c>
      <c r="D22" s="4" t="s">
        <v>12</v>
      </c>
      <c r="E22" s="3" t="s">
        <v>680</v>
      </c>
    </row>
    <row r="23">
      <c r="A23" s="4" t="s">
        <v>649</v>
      </c>
      <c r="B23" s="4" t="s">
        <v>673</v>
      </c>
      <c r="C23" s="24" t="s">
        <v>681</v>
      </c>
      <c r="D23" s="4" t="s">
        <v>14</v>
      </c>
      <c r="E23" s="3" t="s">
        <v>682</v>
      </c>
    </row>
    <row r="24">
      <c r="A24" s="4" t="s">
        <v>649</v>
      </c>
      <c r="B24" s="4" t="s">
        <v>683</v>
      </c>
      <c r="C24" s="24" t="s">
        <v>684</v>
      </c>
      <c r="D24" s="4" t="s">
        <v>12</v>
      </c>
      <c r="E24" s="10" t="s">
        <v>685</v>
      </c>
    </row>
    <row r="25">
      <c r="A25" s="4" t="s">
        <v>649</v>
      </c>
      <c r="B25" s="4" t="s">
        <v>683</v>
      </c>
      <c r="C25" s="24" t="s">
        <v>686</v>
      </c>
      <c r="D25" s="4" t="s">
        <v>14</v>
      </c>
      <c r="E25" s="3" t="s">
        <v>687</v>
      </c>
    </row>
    <row r="26">
      <c r="A26" s="4" t="s">
        <v>649</v>
      </c>
      <c r="B26" s="4" t="s">
        <v>683</v>
      </c>
      <c r="C26" s="24" t="s">
        <v>686</v>
      </c>
      <c r="D26" s="4" t="s">
        <v>60</v>
      </c>
      <c r="E26" s="3" t="s">
        <v>688</v>
      </c>
    </row>
    <row r="27">
      <c r="A27" s="4" t="s">
        <v>649</v>
      </c>
      <c r="B27" s="14" t="s">
        <v>683</v>
      </c>
      <c r="C27" s="24" t="s">
        <v>686</v>
      </c>
      <c r="D27" s="4" t="s">
        <v>19</v>
      </c>
      <c r="E27" s="25" t="s">
        <v>689</v>
      </c>
    </row>
    <row r="28">
      <c r="A28" s="4" t="s">
        <v>649</v>
      </c>
      <c r="B28" s="4" t="s">
        <v>683</v>
      </c>
      <c r="C28" s="24" t="s">
        <v>686</v>
      </c>
      <c r="D28" s="4" t="s">
        <v>12</v>
      </c>
      <c r="E28" s="3" t="s">
        <v>690</v>
      </c>
    </row>
    <row r="29">
      <c r="A29" s="4" t="s">
        <v>649</v>
      </c>
      <c r="B29" s="4" t="s">
        <v>691</v>
      </c>
      <c r="C29" s="24" t="s">
        <v>692</v>
      </c>
      <c r="D29" s="4" t="s">
        <v>12</v>
      </c>
      <c r="E29" s="10" t="s">
        <v>693</v>
      </c>
    </row>
    <row r="30">
      <c r="A30" s="4" t="s">
        <v>649</v>
      </c>
      <c r="B30" s="4" t="s">
        <v>691</v>
      </c>
      <c r="C30" s="24" t="s">
        <v>694</v>
      </c>
      <c r="D30" s="4" t="s">
        <v>695</v>
      </c>
      <c r="E30" s="6" t="s">
        <v>696</v>
      </c>
    </row>
    <row r="31">
      <c r="A31" s="4" t="s">
        <v>649</v>
      </c>
      <c r="B31" s="4" t="s">
        <v>691</v>
      </c>
      <c r="C31" s="24" t="s">
        <v>694</v>
      </c>
      <c r="D31" s="4" t="s">
        <v>12</v>
      </c>
      <c r="E31" s="10" t="s">
        <v>697</v>
      </c>
    </row>
    <row r="32">
      <c r="A32" s="4" t="s">
        <v>649</v>
      </c>
      <c r="B32" s="4" t="s">
        <v>691</v>
      </c>
      <c r="C32" s="24" t="s">
        <v>698</v>
      </c>
      <c r="D32" s="4" t="s">
        <v>695</v>
      </c>
      <c r="E32" s="6" t="s">
        <v>699</v>
      </c>
    </row>
    <row r="33">
      <c r="A33" s="4" t="s">
        <v>649</v>
      </c>
      <c r="B33" s="4" t="s">
        <v>691</v>
      </c>
      <c r="C33" s="24" t="s">
        <v>700</v>
      </c>
      <c r="D33" s="4" t="s">
        <v>12</v>
      </c>
      <c r="E33" s="10" t="s">
        <v>701</v>
      </c>
    </row>
    <row r="34">
      <c r="A34" s="4" t="s">
        <v>649</v>
      </c>
      <c r="B34" s="4" t="s">
        <v>691</v>
      </c>
      <c r="C34" s="24" t="s">
        <v>702</v>
      </c>
      <c r="D34" s="4" t="s">
        <v>695</v>
      </c>
      <c r="E34" s="6" t="s">
        <v>703</v>
      </c>
    </row>
    <row r="35">
      <c r="A35" s="4" t="s">
        <v>649</v>
      </c>
      <c r="B35" s="4" t="s">
        <v>691</v>
      </c>
      <c r="C35" s="24" t="s">
        <v>704</v>
      </c>
      <c r="D35" s="4" t="s">
        <v>695</v>
      </c>
      <c r="E35" s="6" t="s">
        <v>705</v>
      </c>
    </row>
    <row r="36">
      <c r="A36" s="4" t="s">
        <v>649</v>
      </c>
      <c r="B36" s="4" t="s">
        <v>691</v>
      </c>
      <c r="C36" s="24" t="s">
        <v>704</v>
      </c>
      <c r="D36" s="4" t="s">
        <v>706</v>
      </c>
      <c r="E36" s="6" t="s">
        <v>707</v>
      </c>
    </row>
    <row r="37">
      <c r="A37" s="4" t="s">
        <v>649</v>
      </c>
      <c r="B37" s="4" t="s">
        <v>691</v>
      </c>
      <c r="C37" s="24" t="s">
        <v>708</v>
      </c>
      <c r="D37" s="4" t="s">
        <v>60</v>
      </c>
      <c r="E37" s="3" t="s">
        <v>709</v>
      </c>
    </row>
    <row r="38">
      <c r="A38" s="4" t="s">
        <v>649</v>
      </c>
      <c r="B38" s="4" t="s">
        <v>691</v>
      </c>
      <c r="C38" s="24" t="s">
        <v>708</v>
      </c>
      <c r="D38" s="4" t="s">
        <v>12</v>
      </c>
      <c r="E38" s="10" t="s">
        <v>710</v>
      </c>
    </row>
    <row r="39">
      <c r="A39" s="4" t="s">
        <v>649</v>
      </c>
      <c r="B39" s="4" t="s">
        <v>691</v>
      </c>
      <c r="C39" s="24" t="s">
        <v>708</v>
      </c>
      <c r="D39" s="4" t="s">
        <v>695</v>
      </c>
      <c r="E39" s="6" t="s">
        <v>711</v>
      </c>
    </row>
    <row r="40">
      <c r="A40" s="4" t="s">
        <v>649</v>
      </c>
      <c r="B40" s="4" t="s">
        <v>691</v>
      </c>
      <c r="C40" s="24" t="s">
        <v>708</v>
      </c>
      <c r="D40" s="4" t="s">
        <v>706</v>
      </c>
      <c r="E40" s="6" t="s">
        <v>712</v>
      </c>
    </row>
    <row r="41">
      <c r="A41" s="4" t="s">
        <v>649</v>
      </c>
      <c r="B41" s="4" t="s">
        <v>713</v>
      </c>
      <c r="C41" s="24" t="s">
        <v>714</v>
      </c>
      <c r="D41" s="4" t="s">
        <v>14</v>
      </c>
      <c r="E41" s="10" t="s">
        <v>715</v>
      </c>
    </row>
    <row r="42">
      <c r="A42" s="4" t="s">
        <v>649</v>
      </c>
      <c r="B42" s="4" t="s">
        <v>713</v>
      </c>
      <c r="C42" s="24" t="s">
        <v>714</v>
      </c>
      <c r="D42" s="4" t="s">
        <v>60</v>
      </c>
      <c r="E42" s="6" t="s">
        <v>716</v>
      </c>
    </row>
    <row r="43">
      <c r="A43" s="4" t="s">
        <v>649</v>
      </c>
      <c r="B43" s="4" t="s">
        <v>713</v>
      </c>
      <c r="C43" s="24" t="s">
        <v>714</v>
      </c>
      <c r="D43" s="4" t="s">
        <v>12</v>
      </c>
      <c r="E43" s="10" t="s">
        <v>717</v>
      </c>
    </row>
    <row r="44">
      <c r="A44" s="4" t="s">
        <v>649</v>
      </c>
      <c r="B44" s="4" t="s">
        <v>718</v>
      </c>
      <c r="C44" s="24" t="s">
        <v>719</v>
      </c>
      <c r="D44" s="4" t="s">
        <v>12</v>
      </c>
      <c r="E44" s="10" t="s">
        <v>720</v>
      </c>
    </row>
    <row r="45">
      <c r="A45" s="4" t="s">
        <v>649</v>
      </c>
      <c r="B45" s="4" t="s">
        <v>718</v>
      </c>
      <c r="C45" s="24" t="s">
        <v>721</v>
      </c>
      <c r="D45" s="4" t="s">
        <v>14</v>
      </c>
      <c r="E45" s="10" t="s">
        <v>722</v>
      </c>
    </row>
    <row r="46">
      <c r="A46" s="4" t="s">
        <v>649</v>
      </c>
      <c r="B46" s="4" t="s">
        <v>718</v>
      </c>
      <c r="C46" s="24" t="s">
        <v>721</v>
      </c>
      <c r="D46" s="4" t="s">
        <v>60</v>
      </c>
      <c r="E46" s="6" t="s">
        <v>723</v>
      </c>
    </row>
    <row r="47">
      <c r="A47" s="4" t="s">
        <v>649</v>
      </c>
      <c r="B47" s="4" t="s">
        <v>718</v>
      </c>
      <c r="C47" s="24" t="s">
        <v>721</v>
      </c>
      <c r="D47" s="4" t="s">
        <v>19</v>
      </c>
      <c r="E47" s="10" t="s">
        <v>724</v>
      </c>
    </row>
    <row r="48">
      <c r="A48" s="4" t="s">
        <v>649</v>
      </c>
      <c r="B48" s="4" t="s">
        <v>718</v>
      </c>
      <c r="C48" s="24" t="s">
        <v>721</v>
      </c>
      <c r="D48" s="4" t="s">
        <v>12</v>
      </c>
      <c r="E48" s="10" t="s">
        <v>725</v>
      </c>
    </row>
    <row r="49">
      <c r="A49" s="4" t="s">
        <v>649</v>
      </c>
      <c r="B49" s="4" t="s">
        <v>718</v>
      </c>
      <c r="C49" s="24" t="s">
        <v>721</v>
      </c>
      <c r="D49" s="4" t="s">
        <v>23</v>
      </c>
      <c r="E49" s="6" t="s">
        <v>726</v>
      </c>
    </row>
    <row r="50">
      <c r="A50" s="4" t="s">
        <v>649</v>
      </c>
      <c r="B50" s="4" t="s">
        <v>727</v>
      </c>
      <c r="C50" s="24" t="s">
        <v>728</v>
      </c>
      <c r="D50" s="4" t="s">
        <v>14</v>
      </c>
      <c r="E50" s="3" t="s">
        <v>729</v>
      </c>
    </row>
    <row r="51">
      <c r="A51" s="4" t="s">
        <v>649</v>
      </c>
      <c r="B51" s="4" t="s">
        <v>727</v>
      </c>
      <c r="C51" s="24" t="s">
        <v>728</v>
      </c>
      <c r="D51" s="4" t="s">
        <v>19</v>
      </c>
      <c r="E51" s="10" t="s">
        <v>730</v>
      </c>
    </row>
    <row r="52">
      <c r="A52" s="4" t="s">
        <v>649</v>
      </c>
      <c r="B52" s="4" t="s">
        <v>727</v>
      </c>
      <c r="C52" s="24" t="s">
        <v>728</v>
      </c>
      <c r="D52" s="4" t="s">
        <v>12</v>
      </c>
      <c r="E52" s="10" t="s">
        <v>731</v>
      </c>
    </row>
    <row r="53">
      <c r="A53" s="4" t="s">
        <v>649</v>
      </c>
      <c r="B53" s="4" t="s">
        <v>727</v>
      </c>
      <c r="C53" s="24" t="s">
        <v>728</v>
      </c>
      <c r="D53" s="4" t="s">
        <v>23</v>
      </c>
      <c r="E53" s="3" t="s">
        <v>732</v>
      </c>
    </row>
    <row r="54">
      <c r="A54" s="4" t="s">
        <v>649</v>
      </c>
      <c r="B54" s="4" t="s">
        <v>733</v>
      </c>
      <c r="C54" s="24" t="s">
        <v>734</v>
      </c>
      <c r="D54" s="4" t="s">
        <v>12</v>
      </c>
      <c r="E54" s="10" t="s">
        <v>735</v>
      </c>
    </row>
    <row r="55">
      <c r="A55" s="4" t="s">
        <v>649</v>
      </c>
      <c r="B55" s="4" t="s">
        <v>733</v>
      </c>
      <c r="C55" s="24" t="s">
        <v>736</v>
      </c>
      <c r="D55" s="4" t="s">
        <v>14</v>
      </c>
      <c r="E55" s="10" t="s">
        <v>737</v>
      </c>
    </row>
    <row r="56">
      <c r="A56" s="4" t="s">
        <v>649</v>
      </c>
      <c r="B56" s="4" t="s">
        <v>733</v>
      </c>
      <c r="C56" s="24" t="s">
        <v>736</v>
      </c>
      <c r="D56" s="4" t="s">
        <v>19</v>
      </c>
      <c r="E56" s="10" t="s">
        <v>738</v>
      </c>
    </row>
    <row r="57">
      <c r="A57" s="4" t="s">
        <v>649</v>
      </c>
      <c r="B57" s="4" t="s">
        <v>733</v>
      </c>
      <c r="C57" s="24" t="s">
        <v>739</v>
      </c>
      <c r="D57" s="4" t="s">
        <v>14</v>
      </c>
      <c r="E57" s="10" t="s">
        <v>740</v>
      </c>
    </row>
    <row r="58">
      <c r="A58" s="4" t="s">
        <v>649</v>
      </c>
      <c r="B58" s="4" t="s">
        <v>733</v>
      </c>
      <c r="C58" s="24" t="s">
        <v>739</v>
      </c>
      <c r="D58" s="4" t="s">
        <v>19</v>
      </c>
      <c r="E58" s="10" t="s">
        <v>741</v>
      </c>
    </row>
    <row r="59">
      <c r="A59" s="4" t="s">
        <v>649</v>
      </c>
      <c r="B59" s="4" t="s">
        <v>733</v>
      </c>
      <c r="C59" s="24" t="s">
        <v>739</v>
      </c>
      <c r="D59" s="4" t="s">
        <v>12</v>
      </c>
      <c r="E59" s="10" t="s">
        <v>742</v>
      </c>
    </row>
    <row r="60">
      <c r="A60" s="4" t="s">
        <v>649</v>
      </c>
      <c r="B60" s="4" t="s">
        <v>733</v>
      </c>
      <c r="C60" s="24" t="s">
        <v>739</v>
      </c>
      <c r="D60" s="4" t="s">
        <v>23</v>
      </c>
      <c r="E60" s="6" t="s">
        <v>743</v>
      </c>
    </row>
    <row r="61">
      <c r="A61" s="4" t="s">
        <v>649</v>
      </c>
      <c r="B61" s="4" t="s">
        <v>733</v>
      </c>
      <c r="C61" s="24" t="s">
        <v>739</v>
      </c>
      <c r="D61" s="4" t="s">
        <v>60</v>
      </c>
      <c r="E61" s="10" t="s">
        <v>744</v>
      </c>
    </row>
    <row r="62">
      <c r="A62" s="4" t="s">
        <v>649</v>
      </c>
      <c r="B62" s="4" t="s">
        <v>733</v>
      </c>
      <c r="C62" s="24" t="s">
        <v>745</v>
      </c>
      <c r="D62" s="4" t="s">
        <v>14</v>
      </c>
      <c r="E62" s="10" t="s">
        <v>746</v>
      </c>
    </row>
    <row r="63">
      <c r="A63" s="4" t="s">
        <v>649</v>
      </c>
      <c r="B63" s="4" t="s">
        <v>733</v>
      </c>
      <c r="C63" s="24" t="s">
        <v>745</v>
      </c>
      <c r="D63" s="4" t="s">
        <v>60</v>
      </c>
      <c r="E63" s="3" t="s">
        <v>747</v>
      </c>
    </row>
    <row r="64">
      <c r="A64" s="4" t="s">
        <v>649</v>
      </c>
      <c r="B64" s="4" t="s">
        <v>733</v>
      </c>
      <c r="C64" s="24" t="s">
        <v>745</v>
      </c>
      <c r="D64" s="4" t="s">
        <v>19</v>
      </c>
      <c r="E64" s="10" t="s">
        <v>748</v>
      </c>
    </row>
    <row r="65">
      <c r="A65" s="4" t="s">
        <v>649</v>
      </c>
      <c r="B65" s="4" t="s">
        <v>733</v>
      </c>
      <c r="C65" s="24" t="s">
        <v>745</v>
      </c>
      <c r="D65" s="4" t="s">
        <v>8</v>
      </c>
      <c r="E65" s="6" t="s">
        <v>749</v>
      </c>
    </row>
    <row r="66">
      <c r="A66" s="4" t="s">
        <v>649</v>
      </c>
      <c r="B66" s="4" t="s">
        <v>733</v>
      </c>
      <c r="C66" s="24" t="s">
        <v>745</v>
      </c>
      <c r="D66" s="4" t="s">
        <v>12</v>
      </c>
      <c r="E66" s="10" t="s">
        <v>750</v>
      </c>
    </row>
    <row r="67">
      <c r="A67" s="4" t="s">
        <v>649</v>
      </c>
      <c r="B67" s="4" t="s">
        <v>733</v>
      </c>
      <c r="C67" s="24" t="s">
        <v>745</v>
      </c>
      <c r="D67" s="4" t="s">
        <v>23</v>
      </c>
      <c r="E67" s="10" t="s">
        <v>751</v>
      </c>
    </row>
    <row r="68">
      <c r="A68" s="4" t="s">
        <v>649</v>
      </c>
      <c r="B68" s="4" t="s">
        <v>733</v>
      </c>
      <c r="C68" s="24" t="s">
        <v>752</v>
      </c>
      <c r="D68" s="4" t="s">
        <v>14</v>
      </c>
      <c r="E68" s="10" t="s">
        <v>753</v>
      </c>
    </row>
    <row r="69">
      <c r="A69" s="4" t="s">
        <v>649</v>
      </c>
      <c r="B69" s="4" t="s">
        <v>733</v>
      </c>
      <c r="C69" s="24" t="s">
        <v>752</v>
      </c>
      <c r="D69" s="4" t="s">
        <v>60</v>
      </c>
      <c r="E69" s="3" t="s">
        <v>754</v>
      </c>
    </row>
    <row r="70">
      <c r="A70" s="4" t="s">
        <v>649</v>
      </c>
      <c r="B70" s="4" t="s">
        <v>733</v>
      </c>
      <c r="C70" s="24" t="s">
        <v>752</v>
      </c>
      <c r="D70" s="4" t="s">
        <v>19</v>
      </c>
      <c r="E70" s="10" t="s">
        <v>755</v>
      </c>
    </row>
    <row r="71">
      <c r="A71" s="4" t="s">
        <v>649</v>
      </c>
      <c r="B71" s="4" t="s">
        <v>733</v>
      </c>
      <c r="C71" s="24" t="s">
        <v>752</v>
      </c>
      <c r="D71" s="4" t="s">
        <v>12</v>
      </c>
      <c r="E71" s="10" t="s">
        <v>756</v>
      </c>
    </row>
    <row r="72">
      <c r="A72" s="4" t="s">
        <v>649</v>
      </c>
      <c r="B72" s="4" t="s">
        <v>733</v>
      </c>
      <c r="C72" s="24" t="s">
        <v>752</v>
      </c>
      <c r="D72" s="4" t="s">
        <v>23</v>
      </c>
      <c r="E72" s="3" t="s">
        <v>757</v>
      </c>
    </row>
    <row r="73">
      <c r="A73" s="4" t="s">
        <v>649</v>
      </c>
      <c r="B73" s="4" t="s">
        <v>733</v>
      </c>
      <c r="C73" s="24" t="s">
        <v>752</v>
      </c>
      <c r="D73" s="4" t="s">
        <v>8</v>
      </c>
      <c r="E73" s="10" t="s">
        <v>758</v>
      </c>
    </row>
    <row r="74">
      <c r="A74" s="4" t="s">
        <v>649</v>
      </c>
      <c r="B74" s="4" t="s">
        <v>733</v>
      </c>
      <c r="C74" s="24" t="s">
        <v>759</v>
      </c>
      <c r="D74" s="4" t="s">
        <v>14</v>
      </c>
      <c r="E74" s="10" t="s">
        <v>760</v>
      </c>
    </row>
    <row r="75">
      <c r="A75" s="4" t="s">
        <v>649</v>
      </c>
      <c r="B75" s="4" t="s">
        <v>733</v>
      </c>
      <c r="C75" s="24" t="s">
        <v>759</v>
      </c>
      <c r="D75" s="4" t="s">
        <v>60</v>
      </c>
      <c r="E75" s="3" t="s">
        <v>761</v>
      </c>
    </row>
    <row r="76">
      <c r="A76" s="4" t="s">
        <v>649</v>
      </c>
      <c r="B76" s="4" t="s">
        <v>733</v>
      </c>
      <c r="C76" s="24" t="s">
        <v>759</v>
      </c>
      <c r="D76" s="4" t="s">
        <v>19</v>
      </c>
      <c r="E76" s="10" t="s">
        <v>762</v>
      </c>
    </row>
    <row r="77">
      <c r="A77" s="4" t="s">
        <v>649</v>
      </c>
      <c r="B77" s="4" t="s">
        <v>733</v>
      </c>
      <c r="C77" s="24" t="s">
        <v>759</v>
      </c>
      <c r="D77" s="4" t="s">
        <v>763</v>
      </c>
      <c r="E77" s="6" t="s">
        <v>764</v>
      </c>
    </row>
    <row r="78">
      <c r="A78" s="4" t="s">
        <v>649</v>
      </c>
      <c r="B78" s="4" t="s">
        <v>733</v>
      </c>
      <c r="C78" s="24" t="s">
        <v>759</v>
      </c>
      <c r="D78" s="4" t="s">
        <v>12</v>
      </c>
      <c r="E78" s="10" t="s">
        <v>765</v>
      </c>
    </row>
    <row r="79">
      <c r="A79" s="4" t="s">
        <v>649</v>
      </c>
      <c r="B79" s="4" t="s">
        <v>766</v>
      </c>
      <c r="C79" s="24" t="s">
        <v>767</v>
      </c>
      <c r="D79" s="4" t="s">
        <v>14</v>
      </c>
      <c r="E79" s="10" t="s">
        <v>768</v>
      </c>
    </row>
    <row r="80">
      <c r="A80" s="4" t="s">
        <v>649</v>
      </c>
      <c r="B80" s="4" t="s">
        <v>766</v>
      </c>
      <c r="C80" s="24" t="s">
        <v>767</v>
      </c>
      <c r="D80" s="4" t="s">
        <v>12</v>
      </c>
      <c r="E80" s="10" t="s">
        <v>769</v>
      </c>
    </row>
    <row r="81">
      <c r="A81" s="4" t="s">
        <v>649</v>
      </c>
      <c r="B81" s="4" t="s">
        <v>766</v>
      </c>
      <c r="C81" s="24" t="s">
        <v>770</v>
      </c>
      <c r="D81" s="4" t="s">
        <v>19</v>
      </c>
      <c r="E81" s="6" t="s">
        <v>771</v>
      </c>
    </row>
    <row r="82">
      <c r="A82" s="4" t="s">
        <v>649</v>
      </c>
      <c r="B82" s="4" t="s">
        <v>766</v>
      </c>
      <c r="C82" s="24" t="s">
        <v>770</v>
      </c>
      <c r="D82" s="4" t="s">
        <v>12</v>
      </c>
      <c r="E82" s="10" t="s">
        <v>772</v>
      </c>
    </row>
    <row r="83">
      <c r="A83" s="4" t="s">
        <v>649</v>
      </c>
      <c r="B83" s="4" t="s">
        <v>766</v>
      </c>
      <c r="C83" s="24" t="s">
        <v>770</v>
      </c>
      <c r="D83" s="4" t="s">
        <v>283</v>
      </c>
      <c r="E83" s="10" t="s">
        <v>773</v>
      </c>
    </row>
    <row r="84">
      <c r="A84" s="4" t="s">
        <v>649</v>
      </c>
      <c r="B84" s="4" t="s">
        <v>766</v>
      </c>
      <c r="C84" s="24" t="s">
        <v>774</v>
      </c>
      <c r="D84" s="4" t="s">
        <v>14</v>
      </c>
      <c r="E84" s="10" t="s">
        <v>775</v>
      </c>
    </row>
    <row r="85">
      <c r="A85" s="4" t="s">
        <v>649</v>
      </c>
      <c r="B85" s="4" t="s">
        <v>766</v>
      </c>
      <c r="C85" s="24" t="s">
        <v>774</v>
      </c>
      <c r="D85" s="4" t="s">
        <v>19</v>
      </c>
      <c r="E85" s="6" t="s">
        <v>776</v>
      </c>
    </row>
    <row r="86">
      <c r="A86" s="4" t="s">
        <v>649</v>
      </c>
      <c r="B86" s="4" t="s">
        <v>766</v>
      </c>
      <c r="C86" s="24" t="s">
        <v>774</v>
      </c>
      <c r="D86" s="4" t="s">
        <v>12</v>
      </c>
      <c r="E86" s="10" t="s">
        <v>777</v>
      </c>
    </row>
    <row r="87">
      <c r="A87" s="4" t="s">
        <v>649</v>
      </c>
      <c r="B87" s="4" t="s">
        <v>766</v>
      </c>
      <c r="C87" s="24" t="s">
        <v>778</v>
      </c>
      <c r="D87" s="4" t="s">
        <v>14</v>
      </c>
      <c r="E87" s="6" t="s">
        <v>779</v>
      </c>
    </row>
    <row r="88">
      <c r="A88" s="4" t="s">
        <v>649</v>
      </c>
      <c r="B88" s="4" t="s">
        <v>766</v>
      </c>
      <c r="C88" s="24" t="s">
        <v>778</v>
      </c>
      <c r="D88" s="4" t="s">
        <v>19</v>
      </c>
      <c r="E88" s="10" t="s">
        <v>780</v>
      </c>
    </row>
    <row r="89">
      <c r="A89" s="4" t="s">
        <v>649</v>
      </c>
      <c r="B89" s="4" t="s">
        <v>766</v>
      </c>
      <c r="C89" s="24" t="s">
        <v>778</v>
      </c>
      <c r="D89" s="4" t="s">
        <v>12</v>
      </c>
      <c r="E89" s="10" t="s">
        <v>781</v>
      </c>
    </row>
    <row r="90">
      <c r="A90" s="4" t="s">
        <v>649</v>
      </c>
      <c r="B90" s="4" t="s">
        <v>766</v>
      </c>
      <c r="C90" s="24" t="s">
        <v>782</v>
      </c>
      <c r="D90" s="4" t="s">
        <v>14</v>
      </c>
      <c r="E90" s="10" t="s">
        <v>783</v>
      </c>
    </row>
    <row r="91">
      <c r="A91" s="4" t="s">
        <v>649</v>
      </c>
      <c r="B91" s="4" t="s">
        <v>766</v>
      </c>
      <c r="C91" s="24" t="s">
        <v>782</v>
      </c>
      <c r="D91" s="4" t="s">
        <v>19</v>
      </c>
      <c r="E91" s="6" t="s">
        <v>784</v>
      </c>
    </row>
    <row r="92">
      <c r="A92" s="4" t="s">
        <v>649</v>
      </c>
      <c r="B92" s="4" t="s">
        <v>766</v>
      </c>
      <c r="C92" s="24" t="s">
        <v>782</v>
      </c>
      <c r="D92" s="4" t="s">
        <v>12</v>
      </c>
      <c r="E92" s="10" t="s">
        <v>785</v>
      </c>
    </row>
    <row r="93">
      <c r="A93" s="4" t="s">
        <v>649</v>
      </c>
      <c r="B93" s="4" t="s">
        <v>766</v>
      </c>
      <c r="C93" s="24" t="s">
        <v>786</v>
      </c>
      <c r="D93" s="4" t="s">
        <v>14</v>
      </c>
      <c r="E93" s="10" t="s">
        <v>787</v>
      </c>
    </row>
    <row r="94">
      <c r="A94" s="4" t="s">
        <v>649</v>
      </c>
      <c r="B94" s="4" t="s">
        <v>766</v>
      </c>
      <c r="C94" s="24" t="s">
        <v>788</v>
      </c>
      <c r="D94" s="4" t="s">
        <v>14</v>
      </c>
      <c r="E94" s="10" t="s">
        <v>789</v>
      </c>
    </row>
    <row r="95">
      <c r="A95" s="4" t="s">
        <v>649</v>
      </c>
      <c r="B95" s="4" t="s">
        <v>766</v>
      </c>
      <c r="C95" s="24" t="s">
        <v>788</v>
      </c>
      <c r="D95" s="4" t="s">
        <v>19</v>
      </c>
      <c r="E95" s="6" t="s">
        <v>790</v>
      </c>
    </row>
    <row r="96">
      <c r="A96" s="4" t="s">
        <v>649</v>
      </c>
      <c r="B96" s="4" t="s">
        <v>766</v>
      </c>
      <c r="C96" s="24" t="s">
        <v>788</v>
      </c>
      <c r="D96" s="4" t="s">
        <v>12</v>
      </c>
      <c r="E96" s="10" t="s">
        <v>791</v>
      </c>
    </row>
    <row r="97">
      <c r="A97" s="4" t="s">
        <v>649</v>
      </c>
      <c r="B97" s="4" t="s">
        <v>766</v>
      </c>
      <c r="C97" s="24" t="s">
        <v>792</v>
      </c>
      <c r="D97" s="4" t="s">
        <v>14</v>
      </c>
      <c r="E97" s="10" t="s">
        <v>793</v>
      </c>
    </row>
    <row r="98">
      <c r="A98" s="4" t="s">
        <v>649</v>
      </c>
      <c r="B98" s="4" t="s">
        <v>766</v>
      </c>
      <c r="C98" s="24" t="s">
        <v>792</v>
      </c>
      <c r="D98" s="4" t="s">
        <v>12</v>
      </c>
      <c r="E98" s="10" t="s">
        <v>794</v>
      </c>
    </row>
    <row r="99">
      <c r="A99" s="4" t="s">
        <v>649</v>
      </c>
      <c r="B99" s="4" t="s">
        <v>766</v>
      </c>
      <c r="C99" s="24" t="s">
        <v>795</v>
      </c>
      <c r="D99" s="4" t="s">
        <v>14</v>
      </c>
      <c r="E99" s="10" t="s">
        <v>796</v>
      </c>
    </row>
    <row r="100">
      <c r="A100" s="4" t="s">
        <v>649</v>
      </c>
      <c r="B100" s="4" t="s">
        <v>766</v>
      </c>
      <c r="C100" s="24" t="s">
        <v>795</v>
      </c>
      <c r="D100" s="4" t="s">
        <v>60</v>
      </c>
      <c r="E100" s="3" t="s">
        <v>797</v>
      </c>
    </row>
    <row r="101">
      <c r="A101" s="4" t="s">
        <v>649</v>
      </c>
      <c r="B101" s="4" t="s">
        <v>766</v>
      </c>
      <c r="C101" s="24" t="s">
        <v>795</v>
      </c>
      <c r="D101" s="4" t="s">
        <v>19</v>
      </c>
      <c r="E101" s="6" t="s">
        <v>798</v>
      </c>
    </row>
    <row r="102">
      <c r="A102" s="4" t="s">
        <v>649</v>
      </c>
      <c r="B102" s="4" t="s">
        <v>766</v>
      </c>
      <c r="C102" s="24" t="s">
        <v>795</v>
      </c>
      <c r="D102" s="4" t="s">
        <v>12</v>
      </c>
      <c r="E102" s="10" t="s">
        <v>799</v>
      </c>
    </row>
    <row r="103">
      <c r="A103" s="4" t="s">
        <v>649</v>
      </c>
      <c r="B103" s="4" t="s">
        <v>766</v>
      </c>
      <c r="C103" s="24" t="s">
        <v>795</v>
      </c>
      <c r="D103" s="4" t="s">
        <v>23</v>
      </c>
      <c r="E103" s="10" t="s">
        <v>800</v>
      </c>
    </row>
    <row r="104">
      <c r="A104" s="4" t="s">
        <v>649</v>
      </c>
      <c r="B104" s="4" t="s">
        <v>766</v>
      </c>
      <c r="C104" s="24" t="s">
        <v>801</v>
      </c>
      <c r="D104" s="4" t="s">
        <v>12</v>
      </c>
      <c r="E104" s="26" t="s">
        <v>802</v>
      </c>
    </row>
    <row r="105">
      <c r="A105" s="4" t="s">
        <v>649</v>
      </c>
      <c r="B105" s="4" t="s">
        <v>803</v>
      </c>
      <c r="C105" s="24" t="s">
        <v>804</v>
      </c>
      <c r="D105" s="4" t="s">
        <v>14</v>
      </c>
      <c r="E105" s="10" t="s">
        <v>805</v>
      </c>
    </row>
    <row r="106">
      <c r="A106" s="4" t="s">
        <v>649</v>
      </c>
      <c r="B106" s="4" t="s">
        <v>803</v>
      </c>
      <c r="C106" s="24" t="s">
        <v>804</v>
      </c>
      <c r="D106" s="4" t="s">
        <v>23</v>
      </c>
      <c r="E106" s="6" t="s">
        <v>806</v>
      </c>
    </row>
    <row r="107">
      <c r="A107" s="4" t="s">
        <v>649</v>
      </c>
      <c r="B107" s="4" t="s">
        <v>807</v>
      </c>
      <c r="C107" s="24" t="s">
        <v>808</v>
      </c>
      <c r="D107" s="4" t="s">
        <v>14</v>
      </c>
      <c r="E107" s="10" t="s">
        <v>809</v>
      </c>
    </row>
    <row r="108">
      <c r="A108" s="4" t="s">
        <v>649</v>
      </c>
      <c r="B108" s="4" t="s">
        <v>807</v>
      </c>
      <c r="C108" s="24" t="s">
        <v>808</v>
      </c>
      <c r="D108" s="4" t="s">
        <v>60</v>
      </c>
      <c r="E108" s="3" t="s">
        <v>810</v>
      </c>
    </row>
    <row r="109">
      <c r="A109" s="4" t="s">
        <v>649</v>
      </c>
      <c r="B109" s="4" t="s">
        <v>807</v>
      </c>
      <c r="C109" s="24" t="s">
        <v>808</v>
      </c>
      <c r="D109" s="4" t="s">
        <v>19</v>
      </c>
      <c r="E109" s="10" t="s">
        <v>811</v>
      </c>
    </row>
    <row r="110">
      <c r="A110" s="4" t="s">
        <v>649</v>
      </c>
      <c r="B110" s="4" t="s">
        <v>807</v>
      </c>
      <c r="C110" s="24" t="s">
        <v>808</v>
      </c>
      <c r="D110" s="4" t="s">
        <v>8</v>
      </c>
      <c r="E110" s="6" t="s">
        <v>812</v>
      </c>
    </row>
    <row r="111">
      <c r="A111" s="4" t="s">
        <v>649</v>
      </c>
      <c r="B111" s="4" t="s">
        <v>807</v>
      </c>
      <c r="C111" s="24" t="s">
        <v>808</v>
      </c>
      <c r="D111" s="4" t="s">
        <v>12</v>
      </c>
      <c r="E111" s="10" t="s">
        <v>813</v>
      </c>
    </row>
    <row r="112">
      <c r="A112" s="4" t="s">
        <v>649</v>
      </c>
      <c r="B112" s="4" t="s">
        <v>807</v>
      </c>
      <c r="C112" s="24" t="s">
        <v>814</v>
      </c>
      <c r="D112" s="4" t="s">
        <v>12</v>
      </c>
      <c r="E112" s="27" t="s">
        <v>815</v>
      </c>
    </row>
    <row r="113">
      <c r="A113" s="4" t="s">
        <v>649</v>
      </c>
      <c r="B113" s="4" t="s">
        <v>807</v>
      </c>
      <c r="C113" s="24" t="s">
        <v>808</v>
      </c>
      <c r="D113" s="4" t="s">
        <v>23</v>
      </c>
      <c r="E113" s="6" t="s">
        <v>816</v>
      </c>
    </row>
    <row r="114">
      <c r="A114" s="4" t="s">
        <v>649</v>
      </c>
      <c r="B114" s="4" t="s">
        <v>817</v>
      </c>
      <c r="C114" s="24" t="s">
        <v>818</v>
      </c>
      <c r="D114" s="4" t="s">
        <v>14</v>
      </c>
      <c r="E114" s="10" t="s">
        <v>819</v>
      </c>
    </row>
    <row r="115">
      <c r="A115" s="4" t="s">
        <v>649</v>
      </c>
      <c r="B115" s="4" t="s">
        <v>817</v>
      </c>
      <c r="C115" s="24" t="s">
        <v>818</v>
      </c>
      <c r="D115" s="4" t="s">
        <v>19</v>
      </c>
      <c r="E115" s="6" t="s">
        <v>820</v>
      </c>
    </row>
    <row r="116">
      <c r="A116" s="4" t="s">
        <v>649</v>
      </c>
      <c r="B116" s="4" t="s">
        <v>821</v>
      </c>
      <c r="C116" s="24" t="s">
        <v>822</v>
      </c>
      <c r="D116" s="4" t="s">
        <v>12</v>
      </c>
      <c r="E116" s="10" t="s">
        <v>823</v>
      </c>
    </row>
    <row r="117">
      <c r="A117" s="4" t="s">
        <v>649</v>
      </c>
      <c r="B117" s="4" t="s">
        <v>821</v>
      </c>
      <c r="C117" s="24" t="s">
        <v>824</v>
      </c>
      <c r="D117" s="4" t="s">
        <v>14</v>
      </c>
      <c r="E117" s="10" t="s">
        <v>825</v>
      </c>
    </row>
    <row r="118">
      <c r="A118" s="4" t="s">
        <v>649</v>
      </c>
      <c r="B118" s="4" t="s">
        <v>821</v>
      </c>
      <c r="C118" s="24" t="s">
        <v>824</v>
      </c>
      <c r="D118" s="4" t="s">
        <v>19</v>
      </c>
      <c r="E118" s="10" t="s">
        <v>826</v>
      </c>
    </row>
    <row r="119">
      <c r="A119" s="4" t="s">
        <v>649</v>
      </c>
      <c r="B119" s="4" t="s">
        <v>821</v>
      </c>
      <c r="C119" s="24" t="s">
        <v>824</v>
      </c>
      <c r="D119" s="4" t="s">
        <v>12</v>
      </c>
      <c r="E119" s="10" t="s">
        <v>827</v>
      </c>
    </row>
    <row r="120">
      <c r="A120" s="4" t="s">
        <v>649</v>
      </c>
      <c r="B120" s="4" t="s">
        <v>821</v>
      </c>
      <c r="C120" s="24" t="s">
        <v>824</v>
      </c>
      <c r="D120" s="4" t="s">
        <v>23</v>
      </c>
      <c r="E120" s="6" t="s">
        <v>828</v>
      </c>
    </row>
    <row r="121">
      <c r="A121" s="4" t="s">
        <v>649</v>
      </c>
      <c r="B121" s="4" t="s">
        <v>829</v>
      </c>
      <c r="C121" s="24" t="s">
        <v>830</v>
      </c>
      <c r="D121" s="4" t="s">
        <v>12</v>
      </c>
      <c r="E121" s="10" t="s">
        <v>831</v>
      </c>
    </row>
    <row r="122">
      <c r="A122" s="4" t="s">
        <v>649</v>
      </c>
      <c r="B122" s="4" t="s">
        <v>829</v>
      </c>
      <c r="C122" s="24" t="s">
        <v>832</v>
      </c>
      <c r="D122" s="4" t="s">
        <v>14</v>
      </c>
      <c r="E122" s="10" t="s">
        <v>833</v>
      </c>
    </row>
    <row r="123">
      <c r="A123" s="4" t="s">
        <v>649</v>
      </c>
      <c r="B123" s="4" t="s">
        <v>829</v>
      </c>
      <c r="C123" s="24" t="s">
        <v>832</v>
      </c>
      <c r="D123" s="4" t="s">
        <v>60</v>
      </c>
      <c r="E123" s="6" t="s">
        <v>834</v>
      </c>
    </row>
    <row r="124">
      <c r="A124" s="4" t="s">
        <v>649</v>
      </c>
      <c r="B124" s="4" t="s">
        <v>829</v>
      </c>
      <c r="C124" s="24" t="s">
        <v>832</v>
      </c>
      <c r="D124" s="4" t="s">
        <v>19</v>
      </c>
      <c r="E124" s="10" t="s">
        <v>835</v>
      </c>
    </row>
    <row r="125">
      <c r="A125" s="4" t="s">
        <v>649</v>
      </c>
      <c r="B125" s="4" t="s">
        <v>829</v>
      </c>
      <c r="C125" s="24" t="s">
        <v>832</v>
      </c>
      <c r="D125" s="4" t="s">
        <v>12</v>
      </c>
      <c r="E125" s="10" t="s">
        <v>836</v>
      </c>
    </row>
    <row r="126">
      <c r="A126" s="4" t="s">
        <v>649</v>
      </c>
      <c r="B126" s="4" t="s">
        <v>829</v>
      </c>
      <c r="C126" s="24" t="s">
        <v>832</v>
      </c>
      <c r="D126" s="4" t="s">
        <v>23</v>
      </c>
      <c r="E126" s="6" t="s">
        <v>837</v>
      </c>
    </row>
    <row r="127">
      <c r="A127" s="4" t="s">
        <v>649</v>
      </c>
      <c r="B127" s="4" t="s">
        <v>838</v>
      </c>
      <c r="C127" s="24" t="s">
        <v>839</v>
      </c>
      <c r="D127" s="4" t="s">
        <v>14</v>
      </c>
      <c r="E127" s="10" t="s">
        <v>840</v>
      </c>
    </row>
    <row r="128">
      <c r="A128" s="4" t="s">
        <v>649</v>
      </c>
      <c r="B128" s="4" t="s">
        <v>841</v>
      </c>
      <c r="C128" s="24" t="s">
        <v>842</v>
      </c>
      <c r="D128" s="4" t="s">
        <v>14</v>
      </c>
      <c r="E128" s="3" t="s">
        <v>843</v>
      </c>
    </row>
    <row r="129">
      <c r="A129" s="4" t="s">
        <v>649</v>
      </c>
      <c r="B129" s="4" t="s">
        <v>841</v>
      </c>
      <c r="C129" s="24" t="s">
        <v>842</v>
      </c>
      <c r="D129" s="4" t="s">
        <v>12</v>
      </c>
      <c r="E129" s="3" t="s">
        <v>844</v>
      </c>
    </row>
    <row r="130">
      <c r="A130" s="4" t="s">
        <v>649</v>
      </c>
      <c r="B130" s="4" t="s">
        <v>845</v>
      </c>
      <c r="C130" s="24" t="s">
        <v>846</v>
      </c>
      <c r="D130" s="4" t="s">
        <v>12</v>
      </c>
      <c r="E130" s="10" t="s">
        <v>847</v>
      </c>
    </row>
    <row r="131">
      <c r="A131" s="4" t="s">
        <v>649</v>
      </c>
      <c r="B131" s="4" t="s">
        <v>845</v>
      </c>
      <c r="C131" s="24" t="s">
        <v>848</v>
      </c>
      <c r="D131" s="4" t="s">
        <v>14</v>
      </c>
      <c r="E131" s="10" t="s">
        <v>849</v>
      </c>
    </row>
    <row r="132">
      <c r="A132" s="4" t="s">
        <v>649</v>
      </c>
      <c r="B132" s="4" t="s">
        <v>845</v>
      </c>
      <c r="C132" s="24" t="s">
        <v>848</v>
      </c>
      <c r="D132" s="4" t="s">
        <v>19</v>
      </c>
      <c r="E132" s="10" t="s">
        <v>850</v>
      </c>
    </row>
    <row r="133">
      <c r="A133" s="4" t="s">
        <v>649</v>
      </c>
      <c r="B133" s="4" t="s">
        <v>845</v>
      </c>
      <c r="C133" s="24" t="s">
        <v>848</v>
      </c>
      <c r="D133" s="4" t="s">
        <v>8</v>
      </c>
      <c r="E133" s="6" t="s">
        <v>851</v>
      </c>
    </row>
    <row r="134">
      <c r="A134" s="4" t="s">
        <v>649</v>
      </c>
      <c r="B134" s="4" t="s">
        <v>845</v>
      </c>
      <c r="C134" s="24" t="s">
        <v>848</v>
      </c>
      <c r="D134" s="4" t="s">
        <v>23</v>
      </c>
      <c r="E134" s="6" t="s">
        <v>852</v>
      </c>
    </row>
    <row r="135">
      <c r="A135" s="4" t="s">
        <v>649</v>
      </c>
      <c r="B135" s="4" t="s">
        <v>845</v>
      </c>
      <c r="C135" s="28" t="s">
        <v>848</v>
      </c>
      <c r="D135" s="4" t="s">
        <v>12</v>
      </c>
      <c r="E135" s="10" t="s">
        <v>853</v>
      </c>
    </row>
    <row r="136">
      <c r="A136" s="4" t="s">
        <v>649</v>
      </c>
      <c r="B136" s="4" t="s">
        <v>854</v>
      </c>
      <c r="C136" s="24" t="s">
        <v>855</v>
      </c>
      <c r="D136" s="4" t="s">
        <v>14</v>
      </c>
      <c r="E136" s="10" t="s">
        <v>856</v>
      </c>
    </row>
    <row r="137">
      <c r="A137" s="4" t="s">
        <v>649</v>
      </c>
      <c r="B137" s="4" t="s">
        <v>854</v>
      </c>
      <c r="C137" s="24" t="s">
        <v>855</v>
      </c>
      <c r="D137" s="4" t="s">
        <v>19</v>
      </c>
      <c r="E137" s="6" t="s">
        <v>857</v>
      </c>
    </row>
    <row r="138">
      <c r="A138" s="4" t="s">
        <v>649</v>
      </c>
      <c r="B138" s="4" t="s">
        <v>854</v>
      </c>
      <c r="C138" s="24" t="s">
        <v>855</v>
      </c>
      <c r="D138" s="4" t="s">
        <v>12</v>
      </c>
      <c r="E138" s="10" t="s">
        <v>858</v>
      </c>
    </row>
    <row r="139">
      <c r="A139" s="4" t="s">
        <v>649</v>
      </c>
      <c r="B139" s="4" t="s">
        <v>859</v>
      </c>
      <c r="C139" s="24" t="s">
        <v>860</v>
      </c>
      <c r="D139" s="4" t="s">
        <v>19</v>
      </c>
      <c r="E139" s="6" t="s">
        <v>861</v>
      </c>
    </row>
    <row r="140">
      <c r="A140" s="4" t="s">
        <v>649</v>
      </c>
      <c r="B140" s="4" t="s">
        <v>859</v>
      </c>
      <c r="C140" s="24" t="s">
        <v>860</v>
      </c>
      <c r="D140" s="4" t="s">
        <v>283</v>
      </c>
      <c r="E140" s="6" t="s">
        <v>862</v>
      </c>
      <c r="F140" s="8"/>
    </row>
    <row r="141">
      <c r="A141" s="4" t="s">
        <v>649</v>
      </c>
      <c r="B141" s="4" t="s">
        <v>859</v>
      </c>
      <c r="C141" s="24" t="s">
        <v>860</v>
      </c>
      <c r="D141" s="4" t="s">
        <v>12</v>
      </c>
      <c r="E141" s="10" t="s">
        <v>863</v>
      </c>
    </row>
    <row r="142">
      <c r="A142" s="4" t="s">
        <v>649</v>
      </c>
      <c r="B142" s="4" t="s">
        <v>859</v>
      </c>
      <c r="C142" s="24" t="s">
        <v>864</v>
      </c>
      <c r="D142" s="4" t="s">
        <v>14</v>
      </c>
      <c r="E142" s="10" t="s">
        <v>865</v>
      </c>
    </row>
    <row r="143">
      <c r="A143" s="4" t="s">
        <v>649</v>
      </c>
      <c r="B143" s="4" t="s">
        <v>859</v>
      </c>
      <c r="C143" s="24" t="s">
        <v>864</v>
      </c>
      <c r="D143" s="4" t="s">
        <v>19</v>
      </c>
      <c r="E143" s="10" t="s">
        <v>866</v>
      </c>
    </row>
    <row r="144">
      <c r="A144" s="4" t="s">
        <v>649</v>
      </c>
      <c r="B144" s="4" t="s">
        <v>859</v>
      </c>
      <c r="C144" s="24" t="s">
        <v>864</v>
      </c>
      <c r="D144" s="4" t="s">
        <v>12</v>
      </c>
      <c r="E144" s="10" t="s">
        <v>867</v>
      </c>
    </row>
    <row r="145">
      <c r="A145" s="4" t="s">
        <v>649</v>
      </c>
      <c r="B145" s="4" t="s">
        <v>859</v>
      </c>
      <c r="C145" s="24" t="s">
        <v>864</v>
      </c>
      <c r="D145" s="4" t="s">
        <v>8</v>
      </c>
      <c r="E145" s="6" t="s">
        <v>868</v>
      </c>
    </row>
    <row r="146">
      <c r="A146" s="4" t="s">
        <v>649</v>
      </c>
      <c r="B146" s="4" t="s">
        <v>859</v>
      </c>
      <c r="C146" s="24" t="s">
        <v>864</v>
      </c>
      <c r="D146" s="4" t="s">
        <v>23</v>
      </c>
      <c r="E146" s="3" t="s">
        <v>869</v>
      </c>
    </row>
    <row r="147">
      <c r="A147" s="4" t="s">
        <v>649</v>
      </c>
      <c r="B147" s="4" t="s">
        <v>870</v>
      </c>
      <c r="C147" s="24" t="s">
        <v>871</v>
      </c>
      <c r="D147" s="4" t="s">
        <v>14</v>
      </c>
      <c r="E147" s="10" t="s">
        <v>872</v>
      </c>
    </row>
    <row r="148">
      <c r="A148" s="4" t="s">
        <v>649</v>
      </c>
      <c r="B148" s="4" t="s">
        <v>870</v>
      </c>
      <c r="C148" s="24" t="s">
        <v>871</v>
      </c>
      <c r="D148" s="4" t="s">
        <v>12</v>
      </c>
      <c r="E148" s="10" t="s">
        <v>873</v>
      </c>
    </row>
    <row r="149">
      <c r="A149" s="4" t="s">
        <v>649</v>
      </c>
      <c r="B149" s="4" t="s">
        <v>870</v>
      </c>
      <c r="C149" s="24" t="s">
        <v>871</v>
      </c>
      <c r="D149" s="4" t="s">
        <v>60</v>
      </c>
      <c r="E149" s="10" t="s">
        <v>874</v>
      </c>
    </row>
    <row r="150">
      <c r="A150" s="4" t="s">
        <v>649</v>
      </c>
      <c r="B150" s="4" t="s">
        <v>875</v>
      </c>
      <c r="C150" s="24" t="s">
        <v>876</v>
      </c>
      <c r="D150" s="4" t="s">
        <v>12</v>
      </c>
      <c r="E150" s="10" t="s">
        <v>877</v>
      </c>
    </row>
    <row r="151">
      <c r="A151" s="4" t="s">
        <v>649</v>
      </c>
      <c r="B151" s="4" t="s">
        <v>875</v>
      </c>
      <c r="C151" s="28" t="s">
        <v>878</v>
      </c>
      <c r="D151" s="4" t="s">
        <v>14</v>
      </c>
      <c r="E151" s="3" t="s">
        <v>879</v>
      </c>
    </row>
    <row r="152">
      <c r="A152" s="4" t="s">
        <v>649</v>
      </c>
      <c r="B152" s="4" t="s">
        <v>875</v>
      </c>
      <c r="C152" s="24" t="s">
        <v>878</v>
      </c>
      <c r="D152" s="4" t="s">
        <v>60</v>
      </c>
      <c r="E152" s="3" t="s">
        <v>880</v>
      </c>
    </row>
    <row r="153">
      <c r="A153" s="4" t="s">
        <v>649</v>
      </c>
      <c r="B153" s="4" t="s">
        <v>875</v>
      </c>
      <c r="C153" s="24" t="s">
        <v>878</v>
      </c>
      <c r="D153" s="4" t="s">
        <v>19</v>
      </c>
      <c r="E153" s="10" t="s">
        <v>881</v>
      </c>
    </row>
    <row r="154">
      <c r="A154" s="4" t="s">
        <v>649</v>
      </c>
      <c r="B154" s="4" t="s">
        <v>875</v>
      </c>
      <c r="C154" s="24" t="s">
        <v>878</v>
      </c>
      <c r="D154" s="4" t="s">
        <v>12</v>
      </c>
      <c r="E154" s="10" t="s">
        <v>882</v>
      </c>
    </row>
    <row r="155">
      <c r="A155" s="4" t="s">
        <v>649</v>
      </c>
      <c r="B155" s="4" t="s">
        <v>875</v>
      </c>
      <c r="C155" s="24" t="s">
        <v>878</v>
      </c>
      <c r="D155" s="4" t="s">
        <v>23</v>
      </c>
      <c r="E155" s="10" t="s">
        <v>883</v>
      </c>
    </row>
    <row r="156">
      <c r="A156" s="4" t="s">
        <v>649</v>
      </c>
      <c r="B156" s="4" t="s">
        <v>884</v>
      </c>
      <c r="C156" s="24" t="s">
        <v>885</v>
      </c>
      <c r="D156" s="4" t="s">
        <v>14</v>
      </c>
      <c r="E156" s="10" t="s">
        <v>886</v>
      </c>
    </row>
    <row r="157">
      <c r="A157" s="4" t="s">
        <v>649</v>
      </c>
      <c r="B157" s="4" t="s">
        <v>884</v>
      </c>
      <c r="C157" s="24" t="s">
        <v>885</v>
      </c>
      <c r="D157" s="4" t="s">
        <v>60</v>
      </c>
      <c r="E157" s="3" t="s">
        <v>887</v>
      </c>
    </row>
    <row r="158">
      <c r="A158" s="4" t="s">
        <v>649</v>
      </c>
      <c r="B158" s="4" t="s">
        <v>884</v>
      </c>
      <c r="C158" s="24" t="s">
        <v>885</v>
      </c>
      <c r="D158" s="4" t="s">
        <v>19</v>
      </c>
      <c r="E158" s="6" t="s">
        <v>888</v>
      </c>
    </row>
    <row r="159">
      <c r="A159" s="4" t="s">
        <v>649</v>
      </c>
      <c r="B159" s="4" t="s">
        <v>884</v>
      </c>
      <c r="C159" s="24" t="s">
        <v>885</v>
      </c>
      <c r="D159" s="4" t="s">
        <v>23</v>
      </c>
      <c r="E159" s="6" t="s">
        <v>889</v>
      </c>
    </row>
    <row r="160">
      <c r="A160" s="4" t="s">
        <v>649</v>
      </c>
      <c r="B160" s="4" t="s">
        <v>884</v>
      </c>
      <c r="C160" s="24" t="s">
        <v>890</v>
      </c>
      <c r="D160" s="4" t="s">
        <v>14</v>
      </c>
      <c r="E160" s="10" t="s">
        <v>891</v>
      </c>
      <c r="F160" s="8" t="s">
        <v>892</v>
      </c>
    </row>
    <row r="161">
      <c r="A161" s="4" t="s">
        <v>649</v>
      </c>
      <c r="B161" s="4" t="s">
        <v>884</v>
      </c>
      <c r="C161" s="24" t="s">
        <v>890</v>
      </c>
      <c r="D161" s="4" t="s">
        <v>19</v>
      </c>
      <c r="E161" s="6" t="s">
        <v>893</v>
      </c>
    </row>
    <row r="162">
      <c r="A162" s="4" t="s">
        <v>649</v>
      </c>
      <c r="B162" s="4" t="s">
        <v>894</v>
      </c>
      <c r="C162" s="24" t="s">
        <v>895</v>
      </c>
      <c r="D162" s="4" t="s">
        <v>14</v>
      </c>
      <c r="E162" s="6" t="s">
        <v>896</v>
      </c>
    </row>
    <row r="163">
      <c r="A163" s="4" t="s">
        <v>649</v>
      </c>
      <c r="B163" s="4" t="s">
        <v>894</v>
      </c>
      <c r="C163" s="24" t="s">
        <v>895</v>
      </c>
      <c r="D163" s="4" t="s">
        <v>25</v>
      </c>
      <c r="E163" s="3" t="s">
        <v>897</v>
      </c>
    </row>
    <row r="164">
      <c r="A164" s="4" t="s">
        <v>649</v>
      </c>
      <c r="B164" s="4" t="s">
        <v>894</v>
      </c>
      <c r="C164" s="24" t="s">
        <v>898</v>
      </c>
      <c r="D164" s="4" t="s">
        <v>12</v>
      </c>
      <c r="E164" s="10" t="s">
        <v>899</v>
      </c>
    </row>
    <row r="165">
      <c r="A165" s="4" t="s">
        <v>649</v>
      </c>
      <c r="B165" s="4" t="s">
        <v>894</v>
      </c>
      <c r="C165" s="24" t="s">
        <v>900</v>
      </c>
      <c r="D165" s="4" t="s">
        <v>14</v>
      </c>
      <c r="E165" s="10" t="s">
        <v>901</v>
      </c>
    </row>
    <row r="166">
      <c r="A166" s="4" t="s">
        <v>649</v>
      </c>
      <c r="B166" s="4" t="s">
        <v>894</v>
      </c>
      <c r="C166" s="24" t="s">
        <v>900</v>
      </c>
      <c r="D166" s="4" t="s">
        <v>19</v>
      </c>
      <c r="E166" s="16" t="s">
        <v>902</v>
      </c>
    </row>
    <row r="167">
      <c r="A167" s="4" t="s">
        <v>649</v>
      </c>
      <c r="B167" s="4" t="s">
        <v>894</v>
      </c>
      <c r="C167" s="24" t="s">
        <v>900</v>
      </c>
      <c r="D167" s="4" t="s">
        <v>12</v>
      </c>
      <c r="E167" s="10" t="s">
        <v>903</v>
      </c>
    </row>
    <row r="168">
      <c r="A168" s="4" t="s">
        <v>649</v>
      </c>
      <c r="B168" s="4" t="s">
        <v>894</v>
      </c>
      <c r="C168" s="24" t="s">
        <v>900</v>
      </c>
      <c r="D168" s="4" t="s">
        <v>23</v>
      </c>
      <c r="E168" s="10" t="s">
        <v>904</v>
      </c>
    </row>
    <row r="169">
      <c r="A169" s="4" t="s">
        <v>649</v>
      </c>
      <c r="B169" s="4" t="s">
        <v>894</v>
      </c>
      <c r="C169" s="24" t="s">
        <v>905</v>
      </c>
      <c r="D169" s="4" t="s">
        <v>14</v>
      </c>
      <c r="E169" s="10" t="s">
        <v>906</v>
      </c>
    </row>
    <row r="170">
      <c r="A170" s="4" t="s">
        <v>649</v>
      </c>
      <c r="B170" s="4" t="s">
        <v>894</v>
      </c>
      <c r="C170" s="24" t="s">
        <v>905</v>
      </c>
      <c r="D170" s="4" t="s">
        <v>60</v>
      </c>
      <c r="E170" s="3" t="s">
        <v>907</v>
      </c>
    </row>
    <row r="171">
      <c r="A171" s="4" t="s">
        <v>649</v>
      </c>
      <c r="B171" s="4" t="s">
        <v>894</v>
      </c>
      <c r="C171" s="24" t="s">
        <v>905</v>
      </c>
      <c r="D171" s="4" t="s">
        <v>19</v>
      </c>
      <c r="E171" s="10" t="s">
        <v>908</v>
      </c>
    </row>
    <row r="172">
      <c r="A172" s="4" t="s">
        <v>649</v>
      </c>
      <c r="B172" s="4" t="s">
        <v>894</v>
      </c>
      <c r="C172" s="24" t="s">
        <v>905</v>
      </c>
      <c r="D172" s="4" t="s">
        <v>12</v>
      </c>
      <c r="E172" s="10" t="s">
        <v>909</v>
      </c>
    </row>
    <row r="173">
      <c r="A173" s="4" t="s">
        <v>649</v>
      </c>
      <c r="B173" s="4" t="s">
        <v>894</v>
      </c>
      <c r="C173" s="24" t="s">
        <v>905</v>
      </c>
      <c r="D173" s="4" t="s">
        <v>23</v>
      </c>
      <c r="E173" s="10" t="s">
        <v>910</v>
      </c>
    </row>
    <row r="174">
      <c r="A174" s="4" t="s">
        <v>649</v>
      </c>
      <c r="B174" s="4" t="s">
        <v>911</v>
      </c>
      <c r="C174" s="24" t="s">
        <v>912</v>
      </c>
      <c r="D174" s="4" t="s">
        <v>14</v>
      </c>
      <c r="E174" s="3" t="s">
        <v>913</v>
      </c>
    </row>
    <row r="175">
      <c r="A175" s="4" t="s">
        <v>649</v>
      </c>
      <c r="B175" s="4" t="s">
        <v>911</v>
      </c>
      <c r="C175" s="24" t="s">
        <v>912</v>
      </c>
      <c r="D175" s="4" t="s">
        <v>12</v>
      </c>
      <c r="E175" s="3" t="s">
        <v>914</v>
      </c>
    </row>
    <row r="176">
      <c r="A176" s="4" t="s">
        <v>649</v>
      </c>
      <c r="B176" s="4" t="s">
        <v>915</v>
      </c>
      <c r="C176" s="24" t="s">
        <v>916</v>
      </c>
      <c r="D176" s="4" t="s">
        <v>14</v>
      </c>
      <c r="E176" s="13" t="s">
        <v>917</v>
      </c>
    </row>
    <row r="177">
      <c r="A177" s="4" t="s">
        <v>649</v>
      </c>
      <c r="B177" s="4" t="s">
        <v>6</v>
      </c>
      <c r="C177" s="24" t="s">
        <v>918</v>
      </c>
      <c r="D177" s="4" t="s">
        <v>8</v>
      </c>
      <c r="E177" s="6" t="s">
        <v>919</v>
      </c>
    </row>
    <row r="178">
      <c r="A178" s="4" t="s">
        <v>649</v>
      </c>
      <c r="B178" s="4" t="s">
        <v>6</v>
      </c>
      <c r="C178" s="24" t="s">
        <v>920</v>
      </c>
      <c r="D178" s="4" t="s">
        <v>12</v>
      </c>
      <c r="E178" s="10" t="s">
        <v>921</v>
      </c>
    </row>
    <row r="179">
      <c r="A179" s="4" t="s">
        <v>649</v>
      </c>
      <c r="B179" s="4" t="s">
        <v>922</v>
      </c>
      <c r="C179" s="24" t="s">
        <v>923</v>
      </c>
      <c r="D179" s="4" t="s">
        <v>14</v>
      </c>
      <c r="E179" s="3" t="s">
        <v>924</v>
      </c>
    </row>
    <row r="180">
      <c r="A180" s="4" t="s">
        <v>649</v>
      </c>
      <c r="B180" s="4" t="s">
        <v>925</v>
      </c>
      <c r="C180" s="24" t="s">
        <v>926</v>
      </c>
      <c r="D180" s="4" t="s">
        <v>14</v>
      </c>
      <c r="E180" s="10" t="s">
        <v>927</v>
      </c>
    </row>
    <row r="181">
      <c r="A181" s="4" t="s">
        <v>649</v>
      </c>
      <c r="B181" s="4" t="s">
        <v>925</v>
      </c>
      <c r="C181" s="24" t="s">
        <v>926</v>
      </c>
      <c r="D181" s="4" t="s">
        <v>60</v>
      </c>
      <c r="E181" s="3" t="s">
        <v>928</v>
      </c>
    </row>
    <row r="182">
      <c r="A182" s="4" t="s">
        <v>649</v>
      </c>
      <c r="B182" s="4" t="s">
        <v>925</v>
      </c>
      <c r="C182" s="24" t="s">
        <v>926</v>
      </c>
      <c r="D182" s="4" t="s">
        <v>23</v>
      </c>
      <c r="E182" s="10" t="s">
        <v>929</v>
      </c>
    </row>
    <row r="183">
      <c r="A183" s="4" t="s">
        <v>649</v>
      </c>
      <c r="B183" s="4" t="s">
        <v>925</v>
      </c>
      <c r="C183" s="24" t="s">
        <v>930</v>
      </c>
      <c r="D183" s="4" t="s">
        <v>14</v>
      </c>
      <c r="E183" s="10" t="s">
        <v>931</v>
      </c>
    </row>
    <row r="184">
      <c r="A184" s="4" t="s">
        <v>649</v>
      </c>
      <c r="B184" s="4" t="s">
        <v>925</v>
      </c>
      <c r="C184" s="24" t="s">
        <v>932</v>
      </c>
      <c r="D184" s="4" t="s">
        <v>60</v>
      </c>
      <c r="E184" s="3" t="s">
        <v>933</v>
      </c>
    </row>
    <row r="185">
      <c r="A185" s="4" t="s">
        <v>649</v>
      </c>
      <c r="B185" s="4" t="s">
        <v>925</v>
      </c>
      <c r="C185" s="24" t="s">
        <v>930</v>
      </c>
      <c r="D185" s="4" t="s">
        <v>19</v>
      </c>
      <c r="E185" s="6" t="s">
        <v>934</v>
      </c>
    </row>
    <row r="186">
      <c r="A186" s="4" t="s">
        <v>649</v>
      </c>
      <c r="B186" s="4" t="s">
        <v>925</v>
      </c>
      <c r="C186" s="24" t="s">
        <v>930</v>
      </c>
      <c r="D186" s="4" t="s">
        <v>23</v>
      </c>
      <c r="E186" s="3" t="s">
        <v>935</v>
      </c>
    </row>
    <row r="187">
      <c r="A187" s="4" t="s">
        <v>649</v>
      </c>
      <c r="B187" s="4" t="s">
        <v>925</v>
      </c>
      <c r="C187" s="24" t="s">
        <v>930</v>
      </c>
      <c r="D187" s="4" t="s">
        <v>936</v>
      </c>
      <c r="E187" s="3" t="s">
        <v>937</v>
      </c>
    </row>
    <row r="188">
      <c r="A188" s="2"/>
      <c r="B188" s="2"/>
      <c r="C188" s="29"/>
      <c r="D188" s="2"/>
      <c r="E188" s="20"/>
    </row>
    <row r="189">
      <c r="A189" s="2"/>
      <c r="B189" s="2"/>
      <c r="C189" s="29"/>
      <c r="D189" s="2"/>
      <c r="E189" s="20"/>
    </row>
    <row r="190">
      <c r="A190" s="2"/>
      <c r="B190" s="2"/>
      <c r="C190" s="29"/>
      <c r="D190" s="2"/>
      <c r="E190" s="20"/>
    </row>
    <row r="191">
      <c r="A191" s="2"/>
      <c r="B191" s="2"/>
      <c r="C191" s="29"/>
      <c r="D191" s="2"/>
      <c r="E191" s="20"/>
    </row>
    <row r="192">
      <c r="A192" s="2"/>
      <c r="B192" s="2"/>
      <c r="C192" s="29"/>
      <c r="D192" s="2"/>
      <c r="E192" s="20"/>
    </row>
    <row r="193">
      <c r="A193" s="2"/>
      <c r="B193" s="2"/>
      <c r="C193" s="29"/>
      <c r="D193" s="2"/>
      <c r="E193" s="20"/>
    </row>
    <row r="194">
      <c r="A194" s="2"/>
      <c r="B194" s="2"/>
      <c r="C194" s="29"/>
      <c r="D194" s="2"/>
      <c r="E194" s="20"/>
    </row>
    <row r="195">
      <c r="A195" s="2"/>
      <c r="B195" s="2"/>
      <c r="C195" s="29"/>
      <c r="D195" s="2"/>
      <c r="E195" s="20"/>
    </row>
    <row r="196">
      <c r="A196" s="2"/>
      <c r="B196" s="2"/>
      <c r="C196" s="29"/>
      <c r="D196" s="2"/>
      <c r="E196" s="20"/>
    </row>
    <row r="197">
      <c r="A197" s="2"/>
      <c r="B197" s="2"/>
      <c r="C197" s="29"/>
      <c r="D197" s="2"/>
      <c r="E197" s="20"/>
    </row>
    <row r="198">
      <c r="A198" s="2"/>
      <c r="B198" s="2"/>
      <c r="C198" s="29"/>
      <c r="D198" s="2"/>
      <c r="E198" s="20"/>
    </row>
    <row r="199">
      <c r="A199" s="2"/>
      <c r="B199" s="2"/>
      <c r="C199" s="29"/>
      <c r="D199" s="2"/>
      <c r="E199" s="20"/>
    </row>
    <row r="200">
      <c r="A200" s="2"/>
      <c r="B200" s="2"/>
      <c r="C200" s="29"/>
      <c r="D200" s="2"/>
      <c r="E200" s="21"/>
    </row>
    <row r="201">
      <c r="A201" s="2"/>
      <c r="B201" s="2"/>
      <c r="C201" s="29"/>
      <c r="D201" s="2"/>
      <c r="E201" s="20"/>
    </row>
    <row r="202">
      <c r="A202" s="2"/>
      <c r="B202" s="2"/>
      <c r="C202" s="29"/>
      <c r="D202" s="2"/>
      <c r="E202" s="20"/>
    </row>
    <row r="203">
      <c r="A203" s="2"/>
      <c r="B203" s="2"/>
      <c r="C203" s="29"/>
      <c r="D203" s="2"/>
      <c r="E203" s="20"/>
    </row>
    <row r="204">
      <c r="A204" s="2"/>
      <c r="B204" s="2"/>
      <c r="C204" s="29"/>
      <c r="D204" s="2"/>
      <c r="E204" s="20"/>
    </row>
    <row r="205">
      <c r="A205" s="2"/>
      <c r="B205" s="2"/>
      <c r="C205" s="29"/>
      <c r="D205" s="2"/>
      <c r="E205" s="20"/>
    </row>
    <row r="206">
      <c r="A206" s="2"/>
      <c r="B206" s="2"/>
      <c r="C206" s="29"/>
      <c r="D206" s="2"/>
      <c r="E206" s="20"/>
    </row>
    <row r="207">
      <c r="A207" s="2"/>
      <c r="B207" s="2"/>
      <c r="C207" s="29"/>
      <c r="D207" s="2"/>
      <c r="E207" s="20"/>
    </row>
    <row r="208">
      <c r="A208" s="2"/>
      <c r="B208" s="2"/>
      <c r="C208" s="29"/>
      <c r="D208" s="2"/>
      <c r="E208" s="20"/>
    </row>
    <row r="209">
      <c r="A209" s="2"/>
      <c r="B209" s="2"/>
      <c r="C209" s="29"/>
      <c r="D209" s="2"/>
      <c r="E209" s="20"/>
    </row>
    <row r="210">
      <c r="A210" s="2"/>
      <c r="B210" s="2"/>
      <c r="C210" s="29"/>
      <c r="D210" s="2"/>
      <c r="E210" s="20"/>
    </row>
    <row r="211">
      <c r="A211" s="2"/>
      <c r="B211" s="2"/>
      <c r="C211" s="29"/>
      <c r="D211" s="2"/>
      <c r="E211" s="20"/>
    </row>
    <row r="212">
      <c r="A212" s="2"/>
      <c r="B212" s="2"/>
      <c r="C212" s="29"/>
      <c r="D212" s="2"/>
      <c r="E212" s="20"/>
    </row>
    <row r="213">
      <c r="A213" s="2"/>
      <c r="B213" s="2"/>
      <c r="C213" s="29"/>
      <c r="D213" s="2"/>
      <c r="E213" s="20"/>
    </row>
    <row r="214">
      <c r="A214" s="2"/>
      <c r="B214" s="2"/>
      <c r="C214" s="29"/>
      <c r="D214" s="2"/>
      <c r="E214" s="20"/>
    </row>
    <row r="215">
      <c r="A215" s="2"/>
      <c r="B215" s="2"/>
      <c r="C215" s="29"/>
      <c r="D215" s="2"/>
      <c r="E215" s="20"/>
    </row>
    <row r="216">
      <c r="A216" s="2"/>
      <c r="B216" s="2"/>
      <c r="C216" s="29"/>
      <c r="D216" s="2"/>
      <c r="E216" s="20"/>
    </row>
    <row r="217">
      <c r="A217" s="2"/>
      <c r="B217" s="2"/>
      <c r="C217" s="29"/>
      <c r="D217" s="2"/>
      <c r="E217" s="20"/>
    </row>
    <row r="218">
      <c r="A218" s="2"/>
      <c r="B218" s="2"/>
      <c r="C218" s="29"/>
      <c r="D218" s="2"/>
      <c r="E218" s="20"/>
    </row>
    <row r="219">
      <c r="A219" s="2"/>
      <c r="B219" s="2"/>
      <c r="C219" s="29"/>
      <c r="D219" s="2"/>
      <c r="E219" s="20"/>
    </row>
    <row r="220">
      <c r="A220" s="2"/>
      <c r="B220" s="2"/>
      <c r="C220" s="29"/>
      <c r="D220" s="2"/>
      <c r="E220" s="20"/>
    </row>
    <row r="221">
      <c r="A221" s="2"/>
      <c r="B221" s="2"/>
      <c r="C221" s="29"/>
      <c r="D221" s="2"/>
      <c r="E221" s="20"/>
    </row>
    <row r="222">
      <c r="A222" s="2"/>
      <c r="B222" s="2"/>
      <c r="C222" s="29"/>
      <c r="D222" s="2"/>
      <c r="E222" s="20"/>
    </row>
    <row r="223">
      <c r="A223" s="2"/>
      <c r="B223" s="2"/>
      <c r="C223" s="29"/>
      <c r="D223" s="2"/>
      <c r="E223" s="20"/>
    </row>
    <row r="224">
      <c r="A224" s="2"/>
      <c r="B224" s="2"/>
      <c r="C224" s="29"/>
      <c r="D224" s="2"/>
      <c r="E224" s="20"/>
    </row>
    <row r="225">
      <c r="A225" s="2"/>
      <c r="B225" s="2"/>
      <c r="C225" s="29"/>
      <c r="D225" s="2"/>
      <c r="E225" s="20"/>
    </row>
    <row r="226">
      <c r="A226" s="2"/>
      <c r="B226" s="2"/>
      <c r="C226" s="29"/>
      <c r="D226" s="2"/>
      <c r="E226" s="20"/>
    </row>
    <row r="227">
      <c r="A227" s="2"/>
      <c r="B227" s="2"/>
      <c r="C227" s="29"/>
      <c r="D227" s="2"/>
      <c r="E227" s="20"/>
    </row>
    <row r="228">
      <c r="A228" s="2"/>
      <c r="B228" s="2"/>
      <c r="C228" s="29"/>
      <c r="D228" s="2"/>
      <c r="E228" s="20"/>
    </row>
    <row r="229">
      <c r="A229" s="2"/>
      <c r="B229" s="2"/>
      <c r="C229" s="29"/>
      <c r="D229" s="2"/>
      <c r="E229" s="20"/>
    </row>
    <row r="230">
      <c r="A230" s="2"/>
      <c r="B230" s="2"/>
      <c r="C230" s="29"/>
      <c r="D230" s="2"/>
      <c r="E230" s="20"/>
    </row>
    <row r="231">
      <c r="A231" s="2"/>
      <c r="B231" s="2"/>
      <c r="C231" s="29"/>
      <c r="D231" s="2"/>
      <c r="E231" s="20"/>
    </row>
    <row r="232">
      <c r="A232" s="2"/>
      <c r="B232" s="2"/>
      <c r="C232" s="29"/>
      <c r="D232" s="2"/>
      <c r="E232" s="20"/>
    </row>
    <row r="233">
      <c r="A233" s="2"/>
      <c r="B233" s="2"/>
      <c r="C233" s="29"/>
      <c r="D233" s="2"/>
      <c r="E233" s="20"/>
    </row>
    <row r="234">
      <c r="A234" s="2"/>
      <c r="B234" s="2"/>
      <c r="C234" s="29"/>
      <c r="D234" s="2"/>
      <c r="E234" s="20"/>
    </row>
    <row r="235">
      <c r="A235" s="2"/>
      <c r="B235" s="2"/>
      <c r="C235" s="29"/>
      <c r="D235" s="2"/>
      <c r="E235" s="20"/>
    </row>
    <row r="236">
      <c r="A236" s="2"/>
      <c r="B236" s="2"/>
      <c r="C236" s="29"/>
      <c r="D236" s="2"/>
      <c r="E236" s="20"/>
    </row>
    <row r="237">
      <c r="A237" s="2"/>
      <c r="B237" s="2"/>
      <c r="C237" s="29"/>
      <c r="D237" s="2"/>
      <c r="E237" s="20"/>
    </row>
    <row r="238">
      <c r="A238" s="2"/>
      <c r="B238" s="2"/>
      <c r="C238" s="29"/>
      <c r="D238" s="2"/>
      <c r="E238" s="20"/>
    </row>
    <row r="239">
      <c r="A239" s="2"/>
      <c r="B239" s="2"/>
      <c r="C239" s="29"/>
      <c r="D239" s="2"/>
      <c r="E239" s="20"/>
    </row>
    <row r="240">
      <c r="A240" s="2"/>
      <c r="B240" s="2"/>
      <c r="C240" s="29"/>
      <c r="D240" s="2"/>
      <c r="E240" s="20"/>
    </row>
    <row r="241">
      <c r="A241" s="2"/>
      <c r="B241" s="2"/>
      <c r="C241" s="29"/>
      <c r="D241" s="2"/>
      <c r="E241" s="20"/>
    </row>
    <row r="242">
      <c r="A242" s="2"/>
      <c r="B242" s="2"/>
      <c r="C242" s="29"/>
      <c r="D242" s="2"/>
      <c r="E242" s="20"/>
    </row>
    <row r="243">
      <c r="A243" s="2"/>
      <c r="B243" s="2"/>
      <c r="C243" s="30"/>
      <c r="D243" s="2"/>
      <c r="E243" s="20"/>
    </row>
    <row r="244">
      <c r="A244" s="2"/>
      <c r="B244" s="2"/>
      <c r="C244" s="30"/>
      <c r="D244" s="2"/>
      <c r="E244" s="20"/>
    </row>
    <row r="245">
      <c r="A245" s="2"/>
      <c r="B245" s="2"/>
      <c r="C245" s="30"/>
      <c r="D245" s="2"/>
      <c r="E245" s="20"/>
    </row>
    <row r="246">
      <c r="A246" s="2"/>
      <c r="B246" s="2"/>
      <c r="C246" s="29"/>
      <c r="D246" s="2"/>
      <c r="E246" s="20"/>
    </row>
    <row r="247">
      <c r="A247" s="2"/>
      <c r="B247" s="2"/>
      <c r="C247" s="29"/>
      <c r="D247" s="2"/>
      <c r="E247" s="20"/>
    </row>
    <row r="248">
      <c r="A248" s="2"/>
      <c r="B248" s="2"/>
      <c r="C248" s="29"/>
      <c r="D248" s="2"/>
      <c r="E248" s="20"/>
    </row>
    <row r="249">
      <c r="A249" s="2"/>
      <c r="B249" s="2"/>
      <c r="C249" s="29"/>
      <c r="D249" s="2"/>
      <c r="E249" s="20"/>
    </row>
    <row r="250">
      <c r="A250" s="2"/>
      <c r="B250" s="2"/>
      <c r="C250" s="29"/>
      <c r="D250" s="2"/>
      <c r="E250" s="20"/>
    </row>
    <row r="251">
      <c r="A251" s="2"/>
      <c r="B251" s="2"/>
      <c r="C251" s="29"/>
      <c r="D251" s="2"/>
      <c r="E251" s="20"/>
    </row>
    <row r="252">
      <c r="A252" s="2"/>
      <c r="B252" s="2"/>
      <c r="C252" s="29"/>
      <c r="D252" s="2"/>
      <c r="E252" s="20"/>
    </row>
    <row r="253">
      <c r="A253" s="2"/>
      <c r="B253" s="2"/>
      <c r="C253" s="29"/>
      <c r="D253" s="2"/>
      <c r="E253" s="20"/>
    </row>
    <row r="254">
      <c r="A254" s="2"/>
      <c r="B254" s="2"/>
      <c r="C254" s="29"/>
      <c r="D254" s="2"/>
      <c r="E254" s="20"/>
    </row>
    <row r="255">
      <c r="A255" s="2"/>
      <c r="B255" s="2"/>
      <c r="C255" s="29"/>
      <c r="D255" s="2"/>
      <c r="E255" s="20"/>
    </row>
    <row r="256">
      <c r="A256" s="2"/>
      <c r="B256" s="2"/>
      <c r="C256" s="29"/>
      <c r="D256" s="2"/>
      <c r="E256" s="20"/>
    </row>
    <row r="257">
      <c r="A257" s="2"/>
      <c r="B257" s="2"/>
      <c r="C257" s="29"/>
      <c r="D257" s="2"/>
      <c r="E257" s="20"/>
    </row>
    <row r="258">
      <c r="A258" s="2"/>
      <c r="B258" s="2"/>
      <c r="C258" s="30"/>
      <c r="D258" s="2"/>
      <c r="E258" s="20"/>
    </row>
    <row r="259">
      <c r="A259" s="2"/>
      <c r="B259" s="2"/>
      <c r="C259" s="29"/>
      <c r="D259" s="2"/>
      <c r="E259" s="20"/>
    </row>
    <row r="260">
      <c r="A260" s="2"/>
      <c r="B260" s="2"/>
      <c r="C260" s="29"/>
      <c r="D260" s="2"/>
      <c r="E260" s="20"/>
    </row>
    <row r="261">
      <c r="C261" s="31"/>
    </row>
    <row r="262">
      <c r="C262" s="31"/>
    </row>
    <row r="263">
      <c r="C263" s="31"/>
    </row>
    <row r="264">
      <c r="C264" s="31"/>
    </row>
    <row r="265">
      <c r="C265" s="31"/>
    </row>
    <row r="266">
      <c r="C266" s="31"/>
    </row>
    <row r="267">
      <c r="C267" s="31"/>
    </row>
    <row r="268">
      <c r="C268" s="31"/>
    </row>
    <row r="269">
      <c r="C269" s="31"/>
    </row>
    <row r="270">
      <c r="C270" s="31"/>
    </row>
    <row r="271">
      <c r="C271" s="31"/>
    </row>
    <row r="272">
      <c r="C272" s="31"/>
    </row>
    <row r="273">
      <c r="C273" s="31"/>
    </row>
    <row r="274">
      <c r="C274" s="31"/>
    </row>
    <row r="275">
      <c r="C275" s="31"/>
    </row>
    <row r="276">
      <c r="C276" s="31"/>
    </row>
    <row r="277">
      <c r="C277" s="31"/>
    </row>
    <row r="278">
      <c r="C278" s="31"/>
    </row>
    <row r="279">
      <c r="C279" s="31"/>
    </row>
    <row r="280">
      <c r="C280" s="31"/>
    </row>
    <row r="281">
      <c r="C281" s="31"/>
    </row>
    <row r="282">
      <c r="C282" s="31"/>
    </row>
    <row r="283">
      <c r="C283" s="31"/>
    </row>
    <row r="284">
      <c r="C284" s="31"/>
    </row>
    <row r="285">
      <c r="C285" s="31"/>
    </row>
    <row r="286">
      <c r="C286" s="31"/>
    </row>
    <row r="287">
      <c r="C287" s="31"/>
    </row>
    <row r="288">
      <c r="C288" s="31"/>
    </row>
    <row r="289">
      <c r="C289" s="31"/>
    </row>
    <row r="290">
      <c r="C290" s="31"/>
    </row>
    <row r="291">
      <c r="C291" s="31"/>
    </row>
    <row r="292">
      <c r="C292" s="31"/>
    </row>
    <row r="293">
      <c r="C293" s="31"/>
    </row>
    <row r="294">
      <c r="C294" s="31"/>
    </row>
    <row r="295">
      <c r="C295" s="31"/>
    </row>
    <row r="296">
      <c r="C296" s="31"/>
    </row>
    <row r="297">
      <c r="C297" s="31"/>
    </row>
    <row r="298">
      <c r="C298" s="31"/>
    </row>
    <row r="299">
      <c r="C299" s="31"/>
    </row>
    <row r="300">
      <c r="C300" s="31"/>
    </row>
    <row r="301">
      <c r="C301" s="31"/>
    </row>
    <row r="302">
      <c r="C302" s="31"/>
    </row>
    <row r="303">
      <c r="C303" s="31"/>
    </row>
    <row r="304">
      <c r="C304" s="31"/>
    </row>
    <row r="305">
      <c r="C305" s="31"/>
    </row>
    <row r="306">
      <c r="C306" s="31"/>
    </row>
    <row r="307">
      <c r="C307" s="31"/>
    </row>
    <row r="308">
      <c r="C308" s="31"/>
    </row>
    <row r="309">
      <c r="C309" s="31"/>
    </row>
    <row r="310">
      <c r="C310" s="31"/>
    </row>
    <row r="311">
      <c r="C311" s="31"/>
    </row>
    <row r="312">
      <c r="C312" s="31"/>
    </row>
    <row r="313">
      <c r="C313" s="31"/>
    </row>
    <row r="314">
      <c r="C314" s="31"/>
    </row>
    <row r="315">
      <c r="C315" s="31"/>
    </row>
    <row r="316">
      <c r="C316" s="31"/>
    </row>
    <row r="317">
      <c r="C317" s="31"/>
    </row>
    <row r="318">
      <c r="C318" s="31"/>
    </row>
    <row r="319">
      <c r="C319" s="31"/>
    </row>
    <row r="320">
      <c r="C320" s="31"/>
    </row>
    <row r="321">
      <c r="C321" s="31"/>
    </row>
    <row r="322">
      <c r="C322" s="31"/>
    </row>
    <row r="323">
      <c r="C323" s="31"/>
    </row>
    <row r="324">
      <c r="C324" s="31"/>
    </row>
    <row r="325">
      <c r="C325" s="31"/>
    </row>
    <row r="326">
      <c r="C326" s="31"/>
    </row>
    <row r="327">
      <c r="C327" s="31"/>
    </row>
    <row r="328">
      <c r="C328" s="31"/>
    </row>
    <row r="329">
      <c r="C329" s="31"/>
    </row>
    <row r="330">
      <c r="C330" s="31"/>
    </row>
    <row r="331">
      <c r="C331" s="31"/>
    </row>
    <row r="332">
      <c r="C332" s="31"/>
    </row>
    <row r="333">
      <c r="C333" s="31"/>
    </row>
    <row r="334">
      <c r="C334" s="31"/>
    </row>
    <row r="335">
      <c r="C335" s="31"/>
    </row>
    <row r="336">
      <c r="C336" s="31"/>
    </row>
    <row r="337">
      <c r="C337" s="31"/>
    </row>
    <row r="338">
      <c r="C338" s="31"/>
    </row>
    <row r="339">
      <c r="C339" s="31"/>
    </row>
    <row r="340">
      <c r="C340" s="31"/>
    </row>
    <row r="341">
      <c r="C341" s="31"/>
    </row>
    <row r="342">
      <c r="C342" s="31"/>
    </row>
    <row r="343">
      <c r="C343" s="31"/>
    </row>
    <row r="344">
      <c r="C344" s="31"/>
    </row>
    <row r="345">
      <c r="C345" s="31"/>
    </row>
    <row r="346">
      <c r="C346" s="31"/>
    </row>
    <row r="347">
      <c r="C347" s="31"/>
    </row>
    <row r="348">
      <c r="C348" s="31"/>
    </row>
    <row r="349">
      <c r="C349" s="31"/>
    </row>
    <row r="350">
      <c r="C350" s="31"/>
    </row>
    <row r="351">
      <c r="C351" s="31"/>
    </row>
    <row r="352">
      <c r="C352" s="31"/>
    </row>
    <row r="353">
      <c r="C353" s="31"/>
    </row>
    <row r="354">
      <c r="C354" s="31"/>
    </row>
    <row r="355">
      <c r="C355" s="31"/>
    </row>
    <row r="356">
      <c r="C356" s="31"/>
    </row>
    <row r="357">
      <c r="C357" s="31"/>
    </row>
    <row r="358">
      <c r="C358" s="31"/>
    </row>
    <row r="359">
      <c r="C359" s="31"/>
    </row>
    <row r="360">
      <c r="C360" s="31"/>
    </row>
    <row r="361">
      <c r="C361" s="31"/>
    </row>
    <row r="362">
      <c r="C362" s="31"/>
    </row>
    <row r="363">
      <c r="C363" s="31"/>
    </row>
    <row r="364">
      <c r="C364" s="31"/>
    </row>
    <row r="365">
      <c r="C365" s="31"/>
    </row>
    <row r="366">
      <c r="C366" s="31"/>
    </row>
    <row r="367">
      <c r="C367" s="31"/>
    </row>
    <row r="368">
      <c r="C368" s="31"/>
    </row>
    <row r="369">
      <c r="C369" s="31"/>
    </row>
    <row r="370">
      <c r="C370" s="31"/>
    </row>
    <row r="371">
      <c r="C371" s="31"/>
    </row>
    <row r="372">
      <c r="C372" s="31"/>
    </row>
    <row r="373">
      <c r="C373" s="31"/>
    </row>
    <row r="374">
      <c r="C374" s="31"/>
    </row>
    <row r="375">
      <c r="C375" s="31"/>
    </row>
    <row r="376">
      <c r="C376" s="31"/>
    </row>
    <row r="377">
      <c r="C377" s="31"/>
    </row>
    <row r="378">
      <c r="C378" s="31"/>
    </row>
    <row r="379">
      <c r="C379" s="31"/>
    </row>
    <row r="380">
      <c r="C380" s="31"/>
    </row>
    <row r="381">
      <c r="C381" s="31"/>
    </row>
    <row r="382">
      <c r="C382" s="31"/>
    </row>
    <row r="383">
      <c r="C383" s="31"/>
    </row>
    <row r="384">
      <c r="C384" s="31"/>
    </row>
    <row r="385">
      <c r="C385" s="31"/>
    </row>
    <row r="386">
      <c r="C386" s="31"/>
    </row>
    <row r="387">
      <c r="C387" s="31"/>
    </row>
    <row r="388">
      <c r="C388" s="31"/>
    </row>
    <row r="389">
      <c r="C389" s="31"/>
    </row>
    <row r="390">
      <c r="C390" s="31"/>
    </row>
    <row r="391">
      <c r="C391" s="31"/>
    </row>
    <row r="392">
      <c r="C392" s="31"/>
    </row>
    <row r="393">
      <c r="C393" s="31"/>
    </row>
    <row r="394">
      <c r="C394" s="31"/>
    </row>
    <row r="395">
      <c r="C395" s="31"/>
    </row>
    <row r="396">
      <c r="C396" s="31"/>
    </row>
    <row r="397">
      <c r="C397" s="31"/>
    </row>
    <row r="398">
      <c r="C398" s="31"/>
    </row>
    <row r="399">
      <c r="C399" s="31"/>
    </row>
    <row r="400">
      <c r="C400" s="31"/>
    </row>
    <row r="401">
      <c r="C401" s="31"/>
    </row>
    <row r="402">
      <c r="C402" s="31"/>
    </row>
    <row r="403">
      <c r="C403" s="31"/>
    </row>
    <row r="404">
      <c r="C404" s="31"/>
    </row>
    <row r="405">
      <c r="C405" s="31"/>
    </row>
    <row r="406">
      <c r="C406" s="31"/>
    </row>
    <row r="407">
      <c r="C407" s="31"/>
    </row>
    <row r="408">
      <c r="C408" s="31"/>
    </row>
    <row r="409">
      <c r="C409" s="31"/>
    </row>
    <row r="410">
      <c r="C410" s="31"/>
    </row>
    <row r="411">
      <c r="C411" s="31"/>
    </row>
    <row r="412">
      <c r="C412" s="31"/>
    </row>
    <row r="413">
      <c r="C413" s="31"/>
    </row>
    <row r="414">
      <c r="C414" s="31"/>
    </row>
    <row r="415">
      <c r="C415" s="31"/>
    </row>
    <row r="416">
      <c r="C416" s="31"/>
    </row>
    <row r="417">
      <c r="C417" s="31"/>
    </row>
    <row r="418">
      <c r="C418" s="31"/>
    </row>
    <row r="419">
      <c r="C419" s="31"/>
    </row>
    <row r="420">
      <c r="C420" s="31"/>
    </row>
    <row r="421">
      <c r="C421" s="31"/>
    </row>
    <row r="422">
      <c r="C422" s="31"/>
    </row>
    <row r="423">
      <c r="C423" s="31"/>
    </row>
    <row r="424">
      <c r="C424" s="31"/>
    </row>
    <row r="425">
      <c r="C425" s="31"/>
    </row>
    <row r="426">
      <c r="C426" s="31"/>
    </row>
    <row r="427">
      <c r="C427" s="31"/>
    </row>
    <row r="428">
      <c r="C428" s="31"/>
    </row>
    <row r="429">
      <c r="C429" s="31"/>
    </row>
    <row r="430">
      <c r="C430" s="31"/>
    </row>
    <row r="431">
      <c r="C431" s="31"/>
    </row>
    <row r="432">
      <c r="C432" s="31"/>
    </row>
    <row r="433">
      <c r="C433" s="31"/>
    </row>
    <row r="434">
      <c r="C434" s="31"/>
    </row>
    <row r="435">
      <c r="C435" s="31"/>
    </row>
    <row r="436">
      <c r="C436" s="31"/>
    </row>
    <row r="437">
      <c r="C437" s="31"/>
    </row>
    <row r="438">
      <c r="C438" s="31"/>
    </row>
    <row r="439">
      <c r="C439" s="31"/>
    </row>
    <row r="440">
      <c r="C440" s="31"/>
    </row>
    <row r="441">
      <c r="C441" s="31"/>
    </row>
    <row r="442">
      <c r="C442" s="31"/>
    </row>
    <row r="443">
      <c r="C443" s="31"/>
    </row>
    <row r="444">
      <c r="C444" s="31"/>
    </row>
    <row r="445">
      <c r="C445" s="31"/>
    </row>
    <row r="446">
      <c r="C446" s="31"/>
    </row>
    <row r="447">
      <c r="C447" s="31"/>
    </row>
    <row r="448">
      <c r="C448" s="31"/>
    </row>
    <row r="449">
      <c r="C449" s="31"/>
    </row>
    <row r="450">
      <c r="C450" s="31"/>
    </row>
    <row r="451">
      <c r="C451" s="31"/>
    </row>
    <row r="452">
      <c r="C452" s="31"/>
    </row>
    <row r="453">
      <c r="C453" s="31"/>
    </row>
    <row r="454">
      <c r="C454" s="31"/>
    </row>
    <row r="455">
      <c r="C455" s="31"/>
    </row>
    <row r="456">
      <c r="C456" s="31"/>
    </row>
    <row r="457">
      <c r="C457" s="31"/>
    </row>
    <row r="458">
      <c r="C458" s="31"/>
    </row>
    <row r="459">
      <c r="C459" s="31"/>
    </row>
    <row r="460">
      <c r="C460" s="31"/>
    </row>
    <row r="461">
      <c r="C461" s="31"/>
    </row>
    <row r="462">
      <c r="C462" s="31"/>
    </row>
    <row r="463">
      <c r="C463" s="31"/>
    </row>
    <row r="464">
      <c r="C464" s="31"/>
    </row>
    <row r="465">
      <c r="C465" s="31"/>
    </row>
    <row r="466">
      <c r="C466" s="31"/>
    </row>
    <row r="467">
      <c r="C467" s="31"/>
    </row>
    <row r="468">
      <c r="C468" s="31"/>
    </row>
    <row r="469">
      <c r="C469" s="31"/>
    </row>
    <row r="470">
      <c r="C470" s="31"/>
    </row>
    <row r="471">
      <c r="C471" s="31"/>
    </row>
    <row r="472">
      <c r="C472" s="31"/>
    </row>
    <row r="473">
      <c r="C473" s="31"/>
    </row>
    <row r="474">
      <c r="C474" s="31"/>
    </row>
    <row r="475">
      <c r="C475" s="31"/>
    </row>
    <row r="476">
      <c r="C476" s="31"/>
    </row>
    <row r="477">
      <c r="C477" s="31"/>
    </row>
    <row r="478">
      <c r="C478" s="31"/>
    </row>
    <row r="479">
      <c r="C479" s="31"/>
    </row>
    <row r="480">
      <c r="C480" s="31"/>
    </row>
    <row r="481">
      <c r="C481" s="31"/>
    </row>
    <row r="482">
      <c r="C482" s="31"/>
    </row>
    <row r="483">
      <c r="C483" s="31"/>
    </row>
    <row r="484">
      <c r="C484" s="31"/>
    </row>
    <row r="485">
      <c r="C485" s="31"/>
    </row>
    <row r="486">
      <c r="C486" s="31"/>
    </row>
    <row r="487">
      <c r="C487" s="31"/>
    </row>
    <row r="488">
      <c r="C488" s="31"/>
    </row>
    <row r="489">
      <c r="C489" s="31"/>
    </row>
    <row r="490">
      <c r="C490" s="31"/>
    </row>
    <row r="491">
      <c r="C491" s="31"/>
    </row>
    <row r="492">
      <c r="C492" s="31"/>
    </row>
    <row r="493">
      <c r="C493" s="31"/>
    </row>
    <row r="494">
      <c r="C494" s="31"/>
    </row>
    <row r="495">
      <c r="C495" s="31"/>
    </row>
    <row r="496">
      <c r="C496" s="31"/>
    </row>
    <row r="497">
      <c r="C497" s="31"/>
    </row>
    <row r="498">
      <c r="C498" s="31"/>
    </row>
    <row r="499">
      <c r="C499" s="31"/>
    </row>
    <row r="500">
      <c r="C500" s="31"/>
    </row>
    <row r="501">
      <c r="C501" s="31"/>
    </row>
    <row r="502">
      <c r="C502" s="31"/>
    </row>
    <row r="503">
      <c r="C503" s="31"/>
    </row>
    <row r="504">
      <c r="C504" s="31"/>
    </row>
    <row r="505">
      <c r="C505" s="31"/>
    </row>
    <row r="506">
      <c r="C506" s="31"/>
    </row>
    <row r="507">
      <c r="C507" s="31"/>
    </row>
    <row r="508">
      <c r="C508" s="31"/>
    </row>
    <row r="509">
      <c r="C509" s="31"/>
    </row>
    <row r="510">
      <c r="C510" s="31"/>
    </row>
    <row r="511">
      <c r="C511" s="31"/>
    </row>
    <row r="512">
      <c r="C512" s="31"/>
    </row>
    <row r="513">
      <c r="C513" s="31"/>
    </row>
    <row r="514">
      <c r="C514" s="31"/>
    </row>
    <row r="515">
      <c r="C515" s="31"/>
    </row>
    <row r="516">
      <c r="C516" s="31"/>
    </row>
    <row r="517">
      <c r="C517" s="31"/>
    </row>
    <row r="518">
      <c r="C518" s="31"/>
    </row>
    <row r="519">
      <c r="C519" s="31"/>
    </row>
    <row r="520">
      <c r="C520" s="31"/>
    </row>
    <row r="521">
      <c r="C521" s="31"/>
    </row>
    <row r="522">
      <c r="C522" s="31"/>
    </row>
    <row r="523">
      <c r="C523" s="31"/>
    </row>
    <row r="524">
      <c r="C524" s="31"/>
    </row>
    <row r="525">
      <c r="C525" s="31"/>
    </row>
    <row r="526">
      <c r="C526" s="31"/>
    </row>
    <row r="527">
      <c r="C527" s="31"/>
    </row>
    <row r="528">
      <c r="C528" s="31"/>
    </row>
    <row r="529">
      <c r="C529" s="31"/>
    </row>
    <row r="530">
      <c r="C530" s="31"/>
    </row>
    <row r="531">
      <c r="C531" s="31"/>
    </row>
    <row r="532">
      <c r="C532" s="31"/>
    </row>
    <row r="533">
      <c r="C533" s="31"/>
    </row>
    <row r="534">
      <c r="C534" s="31"/>
    </row>
    <row r="535">
      <c r="C535" s="31"/>
    </row>
    <row r="536">
      <c r="C536" s="31"/>
    </row>
    <row r="537">
      <c r="C537" s="31"/>
    </row>
    <row r="538">
      <c r="C538" s="31"/>
    </row>
    <row r="539">
      <c r="C539" s="31"/>
    </row>
    <row r="540">
      <c r="C540" s="31"/>
    </row>
    <row r="541">
      <c r="C541" s="31"/>
    </row>
    <row r="542">
      <c r="C542" s="31"/>
    </row>
    <row r="543">
      <c r="C543" s="31"/>
    </row>
    <row r="544">
      <c r="C544" s="31"/>
    </row>
    <row r="545">
      <c r="C545" s="31"/>
    </row>
    <row r="546">
      <c r="C546" s="31"/>
    </row>
    <row r="547">
      <c r="C547" s="31"/>
    </row>
    <row r="548">
      <c r="C548" s="31"/>
    </row>
    <row r="549">
      <c r="C549" s="31"/>
    </row>
    <row r="550">
      <c r="C550" s="31"/>
    </row>
    <row r="551">
      <c r="C551" s="31"/>
    </row>
    <row r="552">
      <c r="C552" s="31"/>
    </row>
    <row r="553">
      <c r="C553" s="31"/>
    </row>
    <row r="554">
      <c r="C554" s="31"/>
    </row>
    <row r="555">
      <c r="C555" s="31"/>
    </row>
    <row r="556">
      <c r="C556" s="31"/>
    </row>
    <row r="557">
      <c r="C557" s="31"/>
    </row>
    <row r="558">
      <c r="C558" s="31"/>
    </row>
    <row r="559">
      <c r="C559" s="31"/>
    </row>
    <row r="560">
      <c r="C560" s="31"/>
    </row>
    <row r="561">
      <c r="C561" s="31"/>
    </row>
    <row r="562">
      <c r="C562" s="31"/>
    </row>
    <row r="563">
      <c r="C563" s="31"/>
    </row>
    <row r="564">
      <c r="C564" s="31"/>
    </row>
    <row r="565">
      <c r="C565" s="31"/>
    </row>
    <row r="566">
      <c r="C566" s="31"/>
    </row>
    <row r="567">
      <c r="C567" s="31"/>
    </row>
    <row r="568">
      <c r="C568" s="31"/>
    </row>
    <row r="569">
      <c r="C569" s="31"/>
    </row>
    <row r="570">
      <c r="C570" s="31"/>
    </row>
    <row r="571">
      <c r="C571" s="31"/>
    </row>
    <row r="572">
      <c r="C572" s="31"/>
    </row>
    <row r="573">
      <c r="C573" s="31"/>
    </row>
    <row r="574">
      <c r="C574" s="31"/>
    </row>
    <row r="575">
      <c r="C575" s="31"/>
    </row>
    <row r="576">
      <c r="C576" s="31"/>
    </row>
    <row r="577">
      <c r="C577" s="31"/>
    </row>
    <row r="578">
      <c r="C578" s="31"/>
    </row>
    <row r="579">
      <c r="C579" s="31"/>
    </row>
    <row r="580">
      <c r="C580" s="31"/>
    </row>
    <row r="581">
      <c r="C581" s="31"/>
    </row>
    <row r="582">
      <c r="C582" s="31"/>
    </row>
    <row r="583">
      <c r="C583" s="31"/>
    </row>
    <row r="584">
      <c r="C584" s="31"/>
    </row>
    <row r="585">
      <c r="C585" s="31"/>
    </row>
    <row r="586">
      <c r="C586" s="31"/>
    </row>
    <row r="587">
      <c r="C587" s="31"/>
    </row>
    <row r="588">
      <c r="C588" s="31"/>
    </row>
    <row r="589">
      <c r="C589" s="31"/>
    </row>
    <row r="590">
      <c r="C590" s="31"/>
    </row>
    <row r="591">
      <c r="C591" s="31"/>
    </row>
    <row r="592">
      <c r="C592" s="31"/>
    </row>
    <row r="593">
      <c r="C593" s="31"/>
    </row>
    <row r="594">
      <c r="C594" s="31"/>
    </row>
    <row r="595">
      <c r="C595" s="31"/>
    </row>
    <row r="596">
      <c r="C596" s="31"/>
    </row>
    <row r="597">
      <c r="C597" s="31"/>
    </row>
    <row r="598">
      <c r="C598" s="31"/>
    </row>
    <row r="599">
      <c r="C599" s="31"/>
    </row>
    <row r="600">
      <c r="C600" s="31"/>
    </row>
    <row r="601">
      <c r="C601" s="31"/>
    </row>
    <row r="602">
      <c r="C602" s="31"/>
    </row>
    <row r="603">
      <c r="C603" s="31"/>
    </row>
    <row r="604">
      <c r="C604" s="31"/>
    </row>
    <row r="605">
      <c r="C605" s="31"/>
    </row>
    <row r="606">
      <c r="C606" s="31"/>
    </row>
    <row r="607">
      <c r="C607" s="31"/>
    </row>
    <row r="608">
      <c r="C608" s="31"/>
    </row>
    <row r="609">
      <c r="C609" s="31"/>
    </row>
    <row r="610">
      <c r="C610" s="31"/>
    </row>
    <row r="611">
      <c r="C611" s="31"/>
    </row>
    <row r="612">
      <c r="C612" s="31"/>
    </row>
    <row r="613">
      <c r="C613" s="31"/>
    </row>
    <row r="614">
      <c r="C614" s="31"/>
    </row>
    <row r="615">
      <c r="C615" s="31"/>
    </row>
    <row r="616">
      <c r="C616" s="31"/>
    </row>
    <row r="617">
      <c r="C617" s="31"/>
    </row>
    <row r="618">
      <c r="C618" s="31"/>
    </row>
    <row r="619">
      <c r="C619" s="31"/>
    </row>
    <row r="620">
      <c r="C620" s="31"/>
    </row>
    <row r="621">
      <c r="C621" s="31"/>
    </row>
    <row r="622">
      <c r="C622" s="31"/>
    </row>
    <row r="623">
      <c r="C623" s="31"/>
    </row>
    <row r="624">
      <c r="C624" s="31"/>
    </row>
    <row r="625">
      <c r="C625" s="31"/>
    </row>
    <row r="626">
      <c r="C626" s="31"/>
    </row>
    <row r="627">
      <c r="C627" s="31"/>
    </row>
    <row r="628">
      <c r="C628" s="31"/>
    </row>
    <row r="629">
      <c r="C629" s="31"/>
    </row>
    <row r="630">
      <c r="C630" s="31"/>
    </row>
    <row r="631">
      <c r="C631" s="31"/>
    </row>
    <row r="632">
      <c r="C632" s="31"/>
    </row>
    <row r="633">
      <c r="C633" s="31"/>
    </row>
    <row r="634">
      <c r="C634" s="31"/>
    </row>
    <row r="635">
      <c r="C635" s="31"/>
    </row>
    <row r="636">
      <c r="C636" s="31"/>
    </row>
    <row r="637">
      <c r="C637" s="31"/>
    </row>
    <row r="638">
      <c r="C638" s="31"/>
    </row>
    <row r="639">
      <c r="C639" s="31"/>
    </row>
    <row r="640">
      <c r="C640" s="31"/>
    </row>
    <row r="641">
      <c r="C641" s="31"/>
    </row>
    <row r="642">
      <c r="C642" s="31"/>
    </row>
    <row r="643">
      <c r="C643" s="31"/>
    </row>
    <row r="644">
      <c r="C644" s="31"/>
    </row>
    <row r="645">
      <c r="C645" s="31"/>
    </row>
    <row r="646">
      <c r="C646" s="31"/>
    </row>
    <row r="647">
      <c r="C647" s="31"/>
    </row>
    <row r="648">
      <c r="C648" s="31"/>
    </row>
    <row r="649">
      <c r="C649" s="31"/>
    </row>
    <row r="650">
      <c r="C650" s="31"/>
    </row>
    <row r="651">
      <c r="C651" s="31"/>
    </row>
    <row r="652">
      <c r="C652" s="31"/>
    </row>
    <row r="653">
      <c r="C653" s="31"/>
    </row>
    <row r="654">
      <c r="C654" s="31"/>
    </row>
    <row r="655">
      <c r="C655" s="31"/>
    </row>
    <row r="656">
      <c r="C656" s="31"/>
    </row>
    <row r="657">
      <c r="C657" s="31"/>
    </row>
    <row r="658">
      <c r="C658" s="31"/>
    </row>
    <row r="659">
      <c r="C659" s="31"/>
    </row>
    <row r="660">
      <c r="C660" s="31"/>
    </row>
    <row r="661">
      <c r="C661" s="31"/>
    </row>
    <row r="662">
      <c r="C662" s="31"/>
    </row>
    <row r="663">
      <c r="C663" s="31"/>
    </row>
    <row r="664">
      <c r="C664" s="31"/>
    </row>
    <row r="665">
      <c r="C665" s="31"/>
    </row>
    <row r="666">
      <c r="C666" s="31"/>
    </row>
    <row r="667">
      <c r="C667" s="31"/>
    </row>
    <row r="668">
      <c r="C668" s="31"/>
    </row>
    <row r="669">
      <c r="C669" s="31"/>
    </row>
    <row r="670">
      <c r="C670" s="31"/>
    </row>
    <row r="671">
      <c r="C671" s="31"/>
    </row>
    <row r="672">
      <c r="C672" s="31"/>
    </row>
    <row r="673">
      <c r="C673" s="31"/>
    </row>
    <row r="674">
      <c r="C674" s="31"/>
    </row>
    <row r="675">
      <c r="C675" s="31"/>
    </row>
    <row r="676">
      <c r="C676" s="31"/>
    </row>
    <row r="677">
      <c r="C677" s="31"/>
    </row>
    <row r="678">
      <c r="C678" s="31"/>
    </row>
    <row r="679">
      <c r="C679" s="31"/>
    </row>
    <row r="680">
      <c r="C680" s="31"/>
    </row>
    <row r="681">
      <c r="C681" s="31"/>
    </row>
    <row r="682">
      <c r="C682" s="31"/>
    </row>
    <row r="683">
      <c r="C683" s="31"/>
    </row>
    <row r="684">
      <c r="C684" s="31"/>
    </row>
    <row r="685">
      <c r="C685" s="31"/>
    </row>
    <row r="686">
      <c r="C686" s="31"/>
    </row>
    <row r="687">
      <c r="C687" s="31"/>
    </row>
    <row r="688">
      <c r="C688" s="31"/>
    </row>
    <row r="689">
      <c r="C689" s="31"/>
    </row>
    <row r="690">
      <c r="C690" s="31"/>
    </row>
    <row r="691">
      <c r="C691" s="31"/>
    </row>
    <row r="692">
      <c r="C692" s="31"/>
    </row>
    <row r="693">
      <c r="C693" s="31"/>
    </row>
    <row r="694">
      <c r="C694" s="31"/>
    </row>
    <row r="695">
      <c r="C695" s="31"/>
    </row>
    <row r="696">
      <c r="C696" s="31"/>
    </row>
    <row r="697">
      <c r="C697" s="31"/>
    </row>
    <row r="698">
      <c r="C698" s="31"/>
    </row>
    <row r="699">
      <c r="C699" s="31"/>
    </row>
    <row r="700">
      <c r="C700" s="31"/>
    </row>
    <row r="701">
      <c r="C701" s="31"/>
    </row>
    <row r="702">
      <c r="C702" s="31"/>
    </row>
    <row r="703">
      <c r="C703" s="31"/>
    </row>
    <row r="704">
      <c r="C704" s="31"/>
    </row>
    <row r="705">
      <c r="C705" s="31"/>
    </row>
    <row r="706">
      <c r="C706" s="31"/>
    </row>
    <row r="707">
      <c r="C707" s="31"/>
    </row>
    <row r="708">
      <c r="C708" s="31"/>
    </row>
    <row r="709">
      <c r="C709" s="31"/>
    </row>
    <row r="710">
      <c r="C710" s="31"/>
    </row>
    <row r="711">
      <c r="C711" s="31"/>
    </row>
    <row r="712">
      <c r="C712" s="31"/>
    </row>
    <row r="713">
      <c r="C713" s="31"/>
    </row>
    <row r="714">
      <c r="C714" s="31"/>
    </row>
    <row r="715">
      <c r="C715" s="31"/>
    </row>
    <row r="716">
      <c r="C716" s="31"/>
    </row>
    <row r="717">
      <c r="C717" s="31"/>
    </row>
    <row r="718">
      <c r="C718" s="31"/>
    </row>
    <row r="719">
      <c r="C719" s="31"/>
    </row>
    <row r="720">
      <c r="C720" s="31"/>
    </row>
    <row r="721">
      <c r="C721" s="31"/>
    </row>
    <row r="722">
      <c r="C722" s="31"/>
    </row>
    <row r="723">
      <c r="C723" s="31"/>
    </row>
    <row r="724">
      <c r="C724" s="31"/>
    </row>
    <row r="725">
      <c r="C725" s="31"/>
    </row>
    <row r="726">
      <c r="C726" s="31"/>
    </row>
    <row r="727">
      <c r="C727" s="31"/>
    </row>
    <row r="728">
      <c r="C728" s="31"/>
    </row>
    <row r="729">
      <c r="C729" s="31"/>
    </row>
    <row r="730">
      <c r="C730" s="31"/>
    </row>
    <row r="731">
      <c r="C731" s="31"/>
    </row>
    <row r="732">
      <c r="C732" s="31"/>
    </row>
    <row r="733">
      <c r="C733" s="31"/>
    </row>
    <row r="734">
      <c r="C734" s="31"/>
    </row>
    <row r="735">
      <c r="C735" s="31"/>
    </row>
    <row r="736">
      <c r="C736" s="31"/>
    </row>
    <row r="737">
      <c r="C737" s="31"/>
    </row>
    <row r="738">
      <c r="C738" s="31"/>
    </row>
    <row r="739">
      <c r="C739" s="31"/>
    </row>
    <row r="740">
      <c r="C740" s="31"/>
    </row>
    <row r="741">
      <c r="C741" s="31"/>
    </row>
    <row r="742">
      <c r="C742" s="31"/>
    </row>
    <row r="743">
      <c r="C743" s="31"/>
    </row>
    <row r="744">
      <c r="C744" s="31"/>
    </row>
    <row r="745">
      <c r="C745" s="31"/>
    </row>
    <row r="746">
      <c r="C746" s="31"/>
    </row>
    <row r="747">
      <c r="C747" s="31"/>
    </row>
    <row r="748">
      <c r="C748" s="31"/>
    </row>
    <row r="749">
      <c r="C749" s="31"/>
    </row>
    <row r="750">
      <c r="C750" s="31"/>
    </row>
    <row r="751">
      <c r="C751" s="31"/>
    </row>
    <row r="752">
      <c r="C752" s="31"/>
    </row>
    <row r="753">
      <c r="C753" s="31"/>
    </row>
    <row r="754">
      <c r="C754" s="31"/>
    </row>
    <row r="755">
      <c r="C755" s="31"/>
    </row>
    <row r="756">
      <c r="C756" s="31"/>
    </row>
    <row r="757">
      <c r="C757" s="31"/>
    </row>
    <row r="758">
      <c r="C758" s="31"/>
    </row>
    <row r="759">
      <c r="C759" s="31"/>
    </row>
    <row r="760">
      <c r="C760" s="31"/>
    </row>
    <row r="761">
      <c r="C761" s="31"/>
    </row>
    <row r="762">
      <c r="C762" s="31"/>
    </row>
    <row r="763">
      <c r="C763" s="31"/>
    </row>
    <row r="764">
      <c r="C764" s="31"/>
    </row>
    <row r="765">
      <c r="C765" s="31"/>
    </row>
    <row r="766">
      <c r="C766" s="31"/>
    </row>
    <row r="767">
      <c r="C767" s="31"/>
    </row>
    <row r="768">
      <c r="C768" s="31"/>
    </row>
    <row r="769">
      <c r="C769" s="31"/>
    </row>
    <row r="770">
      <c r="C770" s="31"/>
    </row>
    <row r="771">
      <c r="C771" s="31"/>
    </row>
    <row r="772">
      <c r="C772" s="31"/>
    </row>
    <row r="773">
      <c r="C773" s="31"/>
    </row>
    <row r="774">
      <c r="C774" s="31"/>
    </row>
    <row r="775">
      <c r="C775" s="31"/>
    </row>
    <row r="776">
      <c r="C776" s="31"/>
    </row>
    <row r="777">
      <c r="C777" s="31"/>
    </row>
    <row r="778">
      <c r="C778" s="31"/>
    </row>
    <row r="779">
      <c r="C779" s="31"/>
    </row>
    <row r="780">
      <c r="C780" s="31"/>
    </row>
    <row r="781">
      <c r="C781" s="31"/>
    </row>
    <row r="782">
      <c r="C782" s="31"/>
    </row>
    <row r="783">
      <c r="C783" s="31"/>
    </row>
    <row r="784">
      <c r="C784" s="31"/>
    </row>
    <row r="785">
      <c r="C785" s="31"/>
    </row>
    <row r="786">
      <c r="C786" s="31"/>
    </row>
    <row r="787">
      <c r="C787" s="31"/>
    </row>
    <row r="788">
      <c r="C788" s="31"/>
    </row>
    <row r="789">
      <c r="C789" s="31"/>
    </row>
    <row r="790">
      <c r="C790" s="31"/>
    </row>
    <row r="791">
      <c r="C791" s="31"/>
    </row>
    <row r="792">
      <c r="C792" s="31"/>
    </row>
    <row r="793">
      <c r="C793" s="31"/>
    </row>
    <row r="794">
      <c r="C794" s="31"/>
    </row>
    <row r="795">
      <c r="C795" s="31"/>
    </row>
    <row r="796">
      <c r="C796" s="31"/>
    </row>
    <row r="797">
      <c r="C797" s="31"/>
    </row>
    <row r="798">
      <c r="C798" s="31"/>
    </row>
    <row r="799">
      <c r="C799" s="31"/>
    </row>
    <row r="800">
      <c r="C800" s="31"/>
    </row>
    <row r="801">
      <c r="C801" s="31"/>
    </row>
    <row r="802">
      <c r="C802" s="31"/>
    </row>
    <row r="803">
      <c r="C803" s="31"/>
    </row>
    <row r="804">
      <c r="C804" s="31"/>
    </row>
    <row r="805">
      <c r="C805" s="31"/>
    </row>
    <row r="806">
      <c r="C806" s="31"/>
    </row>
    <row r="807">
      <c r="C807" s="31"/>
    </row>
    <row r="808">
      <c r="C808" s="31"/>
    </row>
    <row r="809">
      <c r="C809" s="31"/>
    </row>
    <row r="810">
      <c r="C810" s="31"/>
    </row>
    <row r="811">
      <c r="C811" s="31"/>
    </row>
    <row r="812">
      <c r="C812" s="31"/>
    </row>
    <row r="813">
      <c r="C813" s="31"/>
    </row>
    <row r="814">
      <c r="C814" s="31"/>
    </row>
    <row r="815">
      <c r="C815" s="31"/>
    </row>
    <row r="816">
      <c r="C816" s="31"/>
    </row>
    <row r="817">
      <c r="C817" s="31"/>
    </row>
    <row r="818">
      <c r="C818" s="31"/>
    </row>
    <row r="819">
      <c r="C819" s="31"/>
    </row>
    <row r="820">
      <c r="C820" s="31"/>
    </row>
    <row r="821">
      <c r="C821" s="31"/>
    </row>
    <row r="822">
      <c r="C822" s="31"/>
    </row>
    <row r="823">
      <c r="C823" s="31"/>
    </row>
    <row r="824">
      <c r="C824" s="31"/>
    </row>
    <row r="825">
      <c r="C825" s="31"/>
    </row>
    <row r="826">
      <c r="C826" s="31"/>
    </row>
    <row r="827">
      <c r="C827" s="31"/>
    </row>
    <row r="828">
      <c r="C828" s="31"/>
    </row>
    <row r="829">
      <c r="C829" s="31"/>
    </row>
    <row r="830">
      <c r="C830" s="31"/>
    </row>
    <row r="831">
      <c r="C831" s="31"/>
    </row>
    <row r="832">
      <c r="C832" s="31"/>
    </row>
    <row r="833">
      <c r="C833" s="31"/>
    </row>
    <row r="834">
      <c r="C834" s="31"/>
    </row>
    <row r="835">
      <c r="C835" s="31"/>
    </row>
    <row r="836">
      <c r="C836" s="31"/>
    </row>
    <row r="837">
      <c r="C837" s="31"/>
    </row>
    <row r="838">
      <c r="C838" s="31"/>
    </row>
    <row r="839">
      <c r="C839" s="31"/>
    </row>
    <row r="840">
      <c r="C840" s="31"/>
    </row>
    <row r="841">
      <c r="C841" s="31"/>
    </row>
    <row r="842">
      <c r="C842" s="31"/>
    </row>
    <row r="843">
      <c r="C843" s="31"/>
    </row>
    <row r="844">
      <c r="C844" s="31"/>
    </row>
    <row r="845">
      <c r="C845" s="31"/>
    </row>
    <row r="846">
      <c r="C846" s="31"/>
    </row>
    <row r="847">
      <c r="C847" s="31"/>
    </row>
    <row r="848">
      <c r="C848" s="31"/>
    </row>
    <row r="849">
      <c r="C849" s="31"/>
    </row>
    <row r="850">
      <c r="C850" s="31"/>
    </row>
    <row r="851">
      <c r="C851" s="31"/>
    </row>
    <row r="852">
      <c r="C852" s="31"/>
    </row>
    <row r="853">
      <c r="C853" s="31"/>
    </row>
    <row r="854">
      <c r="C854" s="31"/>
    </row>
    <row r="855">
      <c r="C855" s="31"/>
    </row>
    <row r="856">
      <c r="C856" s="31"/>
    </row>
    <row r="857">
      <c r="C857" s="31"/>
    </row>
    <row r="858">
      <c r="C858" s="31"/>
    </row>
    <row r="859">
      <c r="C859" s="31"/>
    </row>
    <row r="860">
      <c r="C860" s="31"/>
    </row>
    <row r="861">
      <c r="C861" s="31"/>
    </row>
    <row r="862">
      <c r="C862" s="31"/>
    </row>
    <row r="863">
      <c r="C863" s="31"/>
    </row>
    <row r="864">
      <c r="C864" s="31"/>
    </row>
    <row r="865">
      <c r="C865" s="31"/>
    </row>
    <row r="866">
      <c r="C866" s="31"/>
    </row>
    <row r="867">
      <c r="C867" s="31"/>
    </row>
    <row r="868">
      <c r="C868" s="31"/>
    </row>
    <row r="869">
      <c r="C869" s="31"/>
    </row>
    <row r="870">
      <c r="C870" s="31"/>
    </row>
    <row r="871">
      <c r="C871" s="31"/>
    </row>
    <row r="872">
      <c r="C872" s="31"/>
    </row>
    <row r="873">
      <c r="C873" s="31"/>
    </row>
    <row r="874">
      <c r="C874" s="31"/>
    </row>
    <row r="875">
      <c r="C875" s="31"/>
    </row>
    <row r="876">
      <c r="C876" s="31"/>
    </row>
    <row r="877">
      <c r="C877" s="31"/>
    </row>
    <row r="878">
      <c r="C878" s="31"/>
    </row>
    <row r="879">
      <c r="C879" s="31"/>
    </row>
    <row r="880">
      <c r="C880" s="31"/>
    </row>
    <row r="881">
      <c r="C881" s="31"/>
    </row>
    <row r="882">
      <c r="C882" s="31"/>
    </row>
    <row r="883">
      <c r="C883" s="31"/>
    </row>
    <row r="884">
      <c r="C884" s="31"/>
    </row>
    <row r="885">
      <c r="C885" s="31"/>
    </row>
    <row r="886">
      <c r="C886" s="31"/>
    </row>
    <row r="887">
      <c r="C887" s="31"/>
    </row>
    <row r="888">
      <c r="C888" s="31"/>
    </row>
    <row r="889">
      <c r="C889" s="31"/>
    </row>
    <row r="890">
      <c r="C890" s="31"/>
    </row>
    <row r="891">
      <c r="C891" s="31"/>
    </row>
    <row r="892">
      <c r="C892" s="31"/>
    </row>
    <row r="893">
      <c r="C893" s="31"/>
    </row>
    <row r="894">
      <c r="C894" s="31"/>
    </row>
    <row r="895">
      <c r="C895" s="31"/>
    </row>
    <row r="896">
      <c r="C896" s="31"/>
    </row>
    <row r="897">
      <c r="C897" s="31"/>
    </row>
    <row r="898">
      <c r="C898" s="31"/>
    </row>
    <row r="899">
      <c r="C899" s="31"/>
    </row>
    <row r="900">
      <c r="C900" s="31"/>
    </row>
    <row r="901">
      <c r="C901" s="31"/>
    </row>
    <row r="902">
      <c r="C902" s="31"/>
    </row>
    <row r="903">
      <c r="C903" s="31"/>
    </row>
    <row r="904">
      <c r="C904" s="31"/>
    </row>
    <row r="905">
      <c r="C905" s="31"/>
    </row>
    <row r="906">
      <c r="C906" s="31"/>
    </row>
    <row r="907">
      <c r="C907" s="31"/>
    </row>
    <row r="908">
      <c r="C908" s="31"/>
    </row>
    <row r="909">
      <c r="C909" s="31"/>
    </row>
    <row r="910">
      <c r="C910" s="31"/>
    </row>
    <row r="911">
      <c r="C911" s="31"/>
    </row>
    <row r="912">
      <c r="C912" s="31"/>
    </row>
    <row r="913">
      <c r="C913" s="31"/>
    </row>
    <row r="914">
      <c r="C914" s="31"/>
    </row>
    <row r="915">
      <c r="C915" s="31"/>
    </row>
    <row r="916">
      <c r="C916" s="31"/>
    </row>
    <row r="917">
      <c r="C917" s="31"/>
    </row>
    <row r="918">
      <c r="C918" s="31"/>
    </row>
    <row r="919">
      <c r="C919" s="31"/>
    </row>
    <row r="920">
      <c r="C920" s="31"/>
    </row>
    <row r="921">
      <c r="C921" s="31"/>
    </row>
    <row r="922">
      <c r="C922" s="31"/>
    </row>
    <row r="923">
      <c r="C923" s="31"/>
    </row>
    <row r="924">
      <c r="C924" s="31"/>
    </row>
    <row r="925">
      <c r="C925" s="31"/>
    </row>
    <row r="926">
      <c r="C926" s="31"/>
    </row>
    <row r="927">
      <c r="C927" s="31"/>
    </row>
    <row r="928">
      <c r="C928" s="31"/>
    </row>
    <row r="929">
      <c r="C929" s="31"/>
    </row>
    <row r="930">
      <c r="C930" s="31"/>
    </row>
    <row r="931">
      <c r="C931" s="31"/>
    </row>
    <row r="932">
      <c r="C932" s="31"/>
    </row>
    <row r="933">
      <c r="C933" s="31"/>
    </row>
    <row r="934">
      <c r="C934" s="31"/>
    </row>
    <row r="935">
      <c r="C935" s="31"/>
    </row>
    <row r="936">
      <c r="C936" s="31"/>
    </row>
    <row r="937">
      <c r="C937" s="31"/>
    </row>
    <row r="938">
      <c r="C938" s="31"/>
    </row>
    <row r="939">
      <c r="C939" s="31"/>
    </row>
    <row r="940">
      <c r="C940" s="31"/>
    </row>
    <row r="941">
      <c r="C941" s="31"/>
    </row>
    <row r="942">
      <c r="C942" s="31"/>
    </row>
    <row r="943">
      <c r="C943" s="31"/>
    </row>
    <row r="944">
      <c r="C944" s="31"/>
    </row>
    <row r="945">
      <c r="C945" s="31"/>
    </row>
    <row r="946">
      <c r="C946" s="31"/>
    </row>
    <row r="947">
      <c r="C947" s="31"/>
    </row>
    <row r="948">
      <c r="C948" s="31"/>
    </row>
    <row r="949">
      <c r="C949" s="31"/>
    </row>
    <row r="950">
      <c r="C950" s="31"/>
    </row>
    <row r="951">
      <c r="C951" s="31"/>
    </row>
    <row r="952">
      <c r="C952" s="31"/>
    </row>
    <row r="953">
      <c r="C953" s="31"/>
    </row>
    <row r="954">
      <c r="C954" s="31"/>
    </row>
    <row r="955">
      <c r="C955" s="31"/>
    </row>
    <row r="956">
      <c r="C956" s="31"/>
    </row>
    <row r="957">
      <c r="C957" s="31"/>
    </row>
    <row r="958">
      <c r="C958" s="31"/>
    </row>
    <row r="959">
      <c r="C959" s="31"/>
    </row>
    <row r="960">
      <c r="C960" s="31"/>
    </row>
    <row r="961">
      <c r="C961" s="31"/>
    </row>
    <row r="962">
      <c r="C962" s="31"/>
    </row>
    <row r="963">
      <c r="C963" s="31"/>
    </row>
    <row r="964">
      <c r="C964" s="31"/>
    </row>
    <row r="965">
      <c r="C965" s="31"/>
    </row>
    <row r="966">
      <c r="C966" s="31"/>
    </row>
    <row r="967">
      <c r="C967" s="31"/>
    </row>
    <row r="968">
      <c r="C968" s="31"/>
    </row>
    <row r="969">
      <c r="C969" s="31"/>
    </row>
    <row r="970">
      <c r="C970" s="31"/>
    </row>
    <row r="971">
      <c r="C971" s="31"/>
    </row>
    <row r="972">
      <c r="C972" s="31"/>
    </row>
    <row r="973">
      <c r="C973" s="31"/>
    </row>
    <row r="974">
      <c r="C974" s="31"/>
    </row>
    <row r="975">
      <c r="C975" s="31"/>
    </row>
    <row r="976">
      <c r="C976" s="31"/>
    </row>
    <row r="977">
      <c r="C977" s="31"/>
    </row>
    <row r="978">
      <c r="C978" s="31"/>
    </row>
    <row r="979">
      <c r="C979" s="31"/>
    </row>
    <row r="980">
      <c r="C980" s="31"/>
    </row>
    <row r="981">
      <c r="C981" s="31"/>
    </row>
    <row r="982">
      <c r="C982" s="31"/>
    </row>
    <row r="983">
      <c r="C983" s="31"/>
    </row>
    <row r="984">
      <c r="C984" s="31"/>
    </row>
    <row r="985">
      <c r="C985" s="31"/>
    </row>
    <row r="986">
      <c r="C986" s="31"/>
    </row>
    <row r="987">
      <c r="C987" s="31"/>
    </row>
    <row r="988">
      <c r="C988" s="31"/>
    </row>
    <row r="989">
      <c r="C989" s="31"/>
    </row>
    <row r="990">
      <c r="C990" s="31"/>
    </row>
    <row r="991">
      <c r="C991" s="31"/>
    </row>
    <row r="992">
      <c r="C992" s="31"/>
    </row>
    <row r="993">
      <c r="C993" s="31"/>
    </row>
    <row r="994">
      <c r="C994" s="31"/>
    </row>
    <row r="995">
      <c r="C995" s="31"/>
    </row>
    <row r="996">
      <c r="C996" s="31"/>
    </row>
    <row r="997">
      <c r="C997" s="31"/>
    </row>
    <row r="998">
      <c r="C998" s="31"/>
    </row>
    <row r="999">
      <c r="C999" s="31"/>
    </row>
    <row r="1000">
      <c r="C1000" s="31"/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  <hyperlink r:id="rId134" ref="E135"/>
    <hyperlink r:id="rId135" ref="E136"/>
    <hyperlink r:id="rId136" ref="E137"/>
    <hyperlink r:id="rId137" ref="E138"/>
    <hyperlink r:id="rId138" ref="E139"/>
    <hyperlink r:id="rId139" ref="E140"/>
    <hyperlink r:id="rId140" ref="E141"/>
    <hyperlink r:id="rId141" ref="E142"/>
    <hyperlink r:id="rId142" ref="E143"/>
    <hyperlink r:id="rId143" ref="E144"/>
    <hyperlink r:id="rId144" ref="E145"/>
    <hyperlink r:id="rId145" ref="E146"/>
    <hyperlink r:id="rId146" ref="E147"/>
    <hyperlink r:id="rId147" ref="E148"/>
    <hyperlink r:id="rId148" ref="E149"/>
    <hyperlink r:id="rId149" ref="E150"/>
    <hyperlink r:id="rId150" ref="E151"/>
    <hyperlink r:id="rId151" ref="E152"/>
    <hyperlink r:id="rId152" ref="E153"/>
    <hyperlink r:id="rId153" ref="E154"/>
    <hyperlink r:id="rId154" ref="E155"/>
    <hyperlink r:id="rId155" ref="E156"/>
    <hyperlink r:id="rId156" ref="E157"/>
    <hyperlink r:id="rId157" ref="E158"/>
    <hyperlink r:id="rId158" ref="E159"/>
    <hyperlink r:id="rId159" ref="E160"/>
    <hyperlink r:id="rId160" ref="E161"/>
    <hyperlink r:id="rId161" ref="E162"/>
    <hyperlink r:id="rId162" ref="E163"/>
    <hyperlink r:id="rId163" ref="E164"/>
    <hyperlink r:id="rId164" ref="E165"/>
    <hyperlink r:id="rId165" ref="E166"/>
    <hyperlink r:id="rId166" ref="E167"/>
    <hyperlink r:id="rId167" ref="E168"/>
    <hyperlink r:id="rId168" ref="E169"/>
    <hyperlink r:id="rId169" ref="E170"/>
    <hyperlink r:id="rId170" ref="E171"/>
    <hyperlink r:id="rId171" ref="E172"/>
    <hyperlink r:id="rId172" ref="E173"/>
    <hyperlink r:id="rId173" ref="E174"/>
    <hyperlink r:id="rId174" ref="E175"/>
    <hyperlink r:id="rId175" ref="E176"/>
    <hyperlink r:id="rId176" ref="E177"/>
    <hyperlink r:id="rId177" ref="E178"/>
    <hyperlink r:id="rId178" ref="E179"/>
    <hyperlink r:id="rId179" ref="E180"/>
    <hyperlink r:id="rId180" ref="E181"/>
    <hyperlink r:id="rId181" ref="E182"/>
    <hyperlink r:id="rId182" ref="E183"/>
    <hyperlink r:id="rId183" ref="E184"/>
    <hyperlink r:id="rId184" ref="E185"/>
    <hyperlink r:id="rId185" ref="E186"/>
    <hyperlink r:id="rId186" ref="E187"/>
  </hyperlinks>
  <drawing r:id="rId187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28.88"/>
    <col customWidth="1" min="3" max="3" width="42.13"/>
    <col customWidth="1" min="5" max="5" width="6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4" t="s">
        <v>938</v>
      </c>
      <c r="B2" s="4" t="s">
        <v>939</v>
      </c>
      <c r="C2" s="4" t="s">
        <v>940</v>
      </c>
      <c r="D2" s="4" t="s">
        <v>14</v>
      </c>
      <c r="E2" s="6" t="s">
        <v>941</v>
      </c>
    </row>
    <row r="3">
      <c r="A3" s="4" t="s">
        <v>938</v>
      </c>
      <c r="B3" s="4" t="s">
        <v>939</v>
      </c>
      <c r="C3" s="4" t="s">
        <v>940</v>
      </c>
      <c r="D3" s="4" t="s">
        <v>19</v>
      </c>
      <c r="E3" s="12" t="s">
        <v>942</v>
      </c>
    </row>
    <row r="4">
      <c r="A4" s="4" t="s">
        <v>938</v>
      </c>
      <c r="B4" s="4" t="s">
        <v>939</v>
      </c>
      <c r="C4" s="4" t="s">
        <v>940</v>
      </c>
      <c r="D4" s="4" t="s">
        <v>12</v>
      </c>
      <c r="E4" s="3" t="s">
        <v>943</v>
      </c>
    </row>
    <row r="5">
      <c r="A5" s="4" t="s">
        <v>938</v>
      </c>
      <c r="B5" s="4" t="s">
        <v>939</v>
      </c>
      <c r="C5" s="4" t="s">
        <v>940</v>
      </c>
      <c r="D5" s="4" t="s">
        <v>23</v>
      </c>
      <c r="E5" s="6" t="s">
        <v>944</v>
      </c>
    </row>
    <row r="6">
      <c r="A6" s="4" t="s">
        <v>938</v>
      </c>
      <c r="B6" s="4" t="s">
        <v>939</v>
      </c>
      <c r="C6" s="4" t="s">
        <v>945</v>
      </c>
      <c r="D6" s="4" t="s">
        <v>12</v>
      </c>
      <c r="E6" s="3" t="s">
        <v>946</v>
      </c>
    </row>
    <row r="7">
      <c r="A7" s="4" t="s">
        <v>938</v>
      </c>
      <c r="B7" s="4" t="s">
        <v>947</v>
      </c>
      <c r="C7" s="4" t="s">
        <v>948</v>
      </c>
      <c r="D7" s="4" t="s">
        <v>14</v>
      </c>
      <c r="E7" s="6" t="s">
        <v>949</v>
      </c>
    </row>
    <row r="8">
      <c r="A8" s="4" t="s">
        <v>938</v>
      </c>
      <c r="B8" s="4" t="s">
        <v>947</v>
      </c>
      <c r="C8" s="4" t="s">
        <v>948</v>
      </c>
      <c r="D8" s="4" t="s">
        <v>19</v>
      </c>
      <c r="E8" s="6" t="s">
        <v>950</v>
      </c>
    </row>
    <row r="9">
      <c r="A9" s="4" t="s">
        <v>938</v>
      </c>
      <c r="B9" s="4" t="s">
        <v>947</v>
      </c>
      <c r="C9" s="4" t="s">
        <v>948</v>
      </c>
      <c r="D9" s="4" t="s">
        <v>12</v>
      </c>
      <c r="E9" s="3" t="s">
        <v>951</v>
      </c>
    </row>
    <row r="10">
      <c r="A10" s="4" t="s">
        <v>938</v>
      </c>
      <c r="B10" s="4" t="s">
        <v>947</v>
      </c>
      <c r="C10" s="4" t="s">
        <v>948</v>
      </c>
      <c r="D10" s="4" t="s">
        <v>23</v>
      </c>
      <c r="E10" s="6" t="s">
        <v>952</v>
      </c>
    </row>
    <row r="11">
      <c r="A11" s="4" t="s">
        <v>938</v>
      </c>
      <c r="B11" s="4" t="s">
        <v>947</v>
      </c>
      <c r="C11" s="4" t="s">
        <v>948</v>
      </c>
      <c r="D11" s="4" t="s">
        <v>8</v>
      </c>
      <c r="E11" s="10" t="s">
        <v>953</v>
      </c>
      <c r="F11" s="8"/>
    </row>
    <row r="12">
      <c r="A12" s="4" t="s">
        <v>938</v>
      </c>
      <c r="B12" s="4" t="s">
        <v>954</v>
      </c>
      <c r="C12" s="4" t="s">
        <v>955</v>
      </c>
      <c r="D12" s="4" t="s">
        <v>12</v>
      </c>
      <c r="E12" s="10" t="s">
        <v>956</v>
      </c>
    </row>
    <row r="13">
      <c r="A13" s="4" t="s">
        <v>938</v>
      </c>
      <c r="B13" s="4" t="s">
        <v>954</v>
      </c>
      <c r="C13" s="4" t="s">
        <v>957</v>
      </c>
      <c r="D13" s="4" t="s">
        <v>14</v>
      </c>
      <c r="E13" s="6" t="s">
        <v>958</v>
      </c>
    </row>
    <row r="14">
      <c r="A14" s="4" t="s">
        <v>938</v>
      </c>
      <c r="B14" s="4" t="s">
        <v>954</v>
      </c>
      <c r="C14" s="4" t="s">
        <v>957</v>
      </c>
      <c r="D14" s="4" t="s">
        <v>19</v>
      </c>
      <c r="E14" s="3" t="s">
        <v>959</v>
      </c>
    </row>
    <row r="15">
      <c r="A15" s="4" t="s">
        <v>938</v>
      </c>
      <c r="B15" s="4" t="s">
        <v>954</v>
      </c>
      <c r="C15" s="4" t="s">
        <v>957</v>
      </c>
      <c r="D15" s="4" t="s">
        <v>8</v>
      </c>
      <c r="E15" s="6" t="s">
        <v>960</v>
      </c>
    </row>
    <row r="16">
      <c r="A16" s="4" t="s">
        <v>938</v>
      </c>
      <c r="B16" s="4" t="s">
        <v>954</v>
      </c>
      <c r="C16" s="4" t="s">
        <v>957</v>
      </c>
      <c r="D16" s="4" t="s">
        <v>12</v>
      </c>
      <c r="E16" s="3" t="s">
        <v>961</v>
      </c>
    </row>
    <row r="17">
      <c r="A17" s="4" t="s">
        <v>938</v>
      </c>
      <c r="B17" s="4" t="s">
        <v>954</v>
      </c>
      <c r="C17" s="4" t="s">
        <v>957</v>
      </c>
      <c r="D17" s="4" t="s">
        <v>23</v>
      </c>
      <c r="E17" s="6" t="s">
        <v>962</v>
      </c>
    </row>
    <row r="18">
      <c r="A18" s="4" t="s">
        <v>938</v>
      </c>
      <c r="B18" s="4" t="s">
        <v>954</v>
      </c>
      <c r="C18" s="4" t="s">
        <v>963</v>
      </c>
      <c r="D18" s="4" t="s">
        <v>14</v>
      </c>
      <c r="E18" s="6" t="s">
        <v>964</v>
      </c>
    </row>
    <row r="19">
      <c r="A19" s="4" t="s">
        <v>938</v>
      </c>
      <c r="B19" s="4" t="s">
        <v>954</v>
      </c>
      <c r="C19" s="4" t="s">
        <v>965</v>
      </c>
      <c r="D19" s="4" t="s">
        <v>12</v>
      </c>
      <c r="E19" s="10" t="s">
        <v>966</v>
      </c>
    </row>
    <row r="20">
      <c r="A20" s="4" t="s">
        <v>938</v>
      </c>
      <c r="B20" s="4" t="s">
        <v>954</v>
      </c>
      <c r="C20" s="4" t="s">
        <v>963</v>
      </c>
      <c r="D20" s="4" t="s">
        <v>12</v>
      </c>
      <c r="E20" s="10" t="s">
        <v>967</v>
      </c>
    </row>
    <row r="21">
      <c r="A21" s="4" t="s">
        <v>938</v>
      </c>
      <c r="B21" s="4" t="s">
        <v>954</v>
      </c>
      <c r="C21" s="4" t="s">
        <v>963</v>
      </c>
      <c r="D21" s="4" t="s">
        <v>968</v>
      </c>
      <c r="E21" s="6" t="s">
        <v>969</v>
      </c>
    </row>
    <row r="22">
      <c r="A22" s="4" t="s">
        <v>938</v>
      </c>
      <c r="B22" s="4" t="s">
        <v>954</v>
      </c>
      <c r="C22" s="4" t="s">
        <v>963</v>
      </c>
      <c r="D22" s="4" t="s">
        <v>23</v>
      </c>
      <c r="E22" s="6" t="s">
        <v>970</v>
      </c>
    </row>
    <row r="23">
      <c r="A23" s="4" t="s">
        <v>938</v>
      </c>
      <c r="B23" s="4" t="s">
        <v>971</v>
      </c>
      <c r="C23" s="4" t="s">
        <v>972</v>
      </c>
      <c r="D23" s="4" t="s">
        <v>14</v>
      </c>
      <c r="E23" s="3" t="s">
        <v>973</v>
      </c>
    </row>
    <row r="24">
      <c r="A24" s="4" t="s">
        <v>938</v>
      </c>
      <c r="B24" s="4" t="s">
        <v>971</v>
      </c>
      <c r="C24" s="4" t="s">
        <v>972</v>
      </c>
      <c r="D24" s="4" t="s">
        <v>19</v>
      </c>
      <c r="E24" s="6" t="s">
        <v>974</v>
      </c>
    </row>
    <row r="25">
      <c r="A25" s="4" t="s">
        <v>938</v>
      </c>
      <c r="B25" s="4" t="s">
        <v>971</v>
      </c>
      <c r="C25" s="4" t="s">
        <v>972</v>
      </c>
      <c r="D25" s="4" t="s">
        <v>12</v>
      </c>
      <c r="E25" s="3" t="s">
        <v>975</v>
      </c>
    </row>
    <row r="26">
      <c r="A26" s="4" t="s">
        <v>938</v>
      </c>
      <c r="B26" s="4" t="s">
        <v>971</v>
      </c>
      <c r="C26" s="4" t="s">
        <v>972</v>
      </c>
      <c r="D26" s="4" t="s">
        <v>23</v>
      </c>
      <c r="E26" s="10" t="s">
        <v>976</v>
      </c>
    </row>
    <row r="27">
      <c r="A27" s="4" t="s">
        <v>938</v>
      </c>
      <c r="B27" s="4" t="s">
        <v>977</v>
      </c>
      <c r="C27" s="4" t="s">
        <v>978</v>
      </c>
      <c r="D27" s="4" t="s">
        <v>14</v>
      </c>
      <c r="E27" s="6" t="s">
        <v>979</v>
      </c>
    </row>
    <row r="28">
      <c r="A28" s="4" t="s">
        <v>938</v>
      </c>
      <c r="B28" s="4" t="s">
        <v>977</v>
      </c>
      <c r="C28" s="4" t="s">
        <v>978</v>
      </c>
      <c r="D28" s="4" t="s">
        <v>19</v>
      </c>
      <c r="E28" s="6" t="s">
        <v>980</v>
      </c>
    </row>
    <row r="29">
      <c r="A29" s="4" t="s">
        <v>938</v>
      </c>
      <c r="B29" s="4" t="s">
        <v>977</v>
      </c>
      <c r="C29" s="4" t="s">
        <v>978</v>
      </c>
      <c r="D29" s="4" t="s">
        <v>12</v>
      </c>
      <c r="E29" s="10" t="s">
        <v>981</v>
      </c>
    </row>
    <row r="30">
      <c r="A30" s="4" t="s">
        <v>938</v>
      </c>
      <c r="B30" s="4" t="s">
        <v>977</v>
      </c>
      <c r="C30" s="4" t="s">
        <v>978</v>
      </c>
      <c r="D30" s="4" t="s">
        <v>23</v>
      </c>
      <c r="E30" s="6" t="s">
        <v>982</v>
      </c>
    </row>
    <row r="31">
      <c r="A31" s="4" t="s">
        <v>938</v>
      </c>
      <c r="B31" s="4" t="s">
        <v>161</v>
      </c>
      <c r="C31" s="4" t="s">
        <v>983</v>
      </c>
      <c r="D31" s="4" t="s">
        <v>12</v>
      </c>
      <c r="E31" s="10" t="s">
        <v>984</v>
      </c>
    </row>
    <row r="32">
      <c r="A32" s="4" t="s">
        <v>938</v>
      </c>
      <c r="B32" s="4" t="s">
        <v>161</v>
      </c>
      <c r="C32" s="4" t="s">
        <v>985</v>
      </c>
      <c r="D32" s="4" t="s">
        <v>12</v>
      </c>
      <c r="E32" s="32" t="s">
        <v>986</v>
      </c>
    </row>
    <row r="33">
      <c r="A33" s="4" t="s">
        <v>938</v>
      </c>
      <c r="B33" s="4" t="s">
        <v>161</v>
      </c>
      <c r="C33" s="4" t="s">
        <v>987</v>
      </c>
      <c r="D33" s="4" t="s">
        <v>14</v>
      </c>
      <c r="E33" s="3" t="s">
        <v>988</v>
      </c>
    </row>
    <row r="34">
      <c r="A34" s="4" t="s">
        <v>938</v>
      </c>
      <c r="B34" s="4" t="s">
        <v>161</v>
      </c>
      <c r="C34" s="4" t="s">
        <v>987</v>
      </c>
      <c r="D34" s="4" t="s">
        <v>19</v>
      </c>
      <c r="E34" s="6" t="s">
        <v>989</v>
      </c>
    </row>
    <row r="35">
      <c r="A35" s="4" t="s">
        <v>938</v>
      </c>
      <c r="B35" s="4" t="s">
        <v>161</v>
      </c>
      <c r="C35" s="4" t="s">
        <v>987</v>
      </c>
      <c r="D35" s="4" t="s">
        <v>12</v>
      </c>
      <c r="E35" s="10" t="s">
        <v>990</v>
      </c>
    </row>
    <row r="36">
      <c r="A36" s="4" t="s">
        <v>938</v>
      </c>
      <c r="B36" s="4" t="s">
        <v>161</v>
      </c>
      <c r="C36" s="4" t="s">
        <v>987</v>
      </c>
      <c r="D36" s="4" t="s">
        <v>23</v>
      </c>
      <c r="E36" s="18" t="s">
        <v>991</v>
      </c>
    </row>
    <row r="37">
      <c r="A37" s="4" t="s">
        <v>938</v>
      </c>
      <c r="B37" s="4" t="s">
        <v>161</v>
      </c>
      <c r="C37" s="4" t="s">
        <v>987</v>
      </c>
      <c r="D37" s="4" t="s">
        <v>8</v>
      </c>
      <c r="E37" s="10" t="s">
        <v>992</v>
      </c>
    </row>
    <row r="38">
      <c r="A38" s="4" t="s">
        <v>938</v>
      </c>
      <c r="B38" s="4" t="s">
        <v>161</v>
      </c>
      <c r="C38" s="4" t="s">
        <v>993</v>
      </c>
      <c r="D38" s="4" t="s">
        <v>14</v>
      </c>
      <c r="E38" s="10" t="s">
        <v>994</v>
      </c>
    </row>
    <row r="39">
      <c r="A39" s="4" t="s">
        <v>938</v>
      </c>
      <c r="B39" s="4" t="s">
        <v>161</v>
      </c>
      <c r="C39" s="4" t="s">
        <v>993</v>
      </c>
      <c r="D39" s="4" t="s">
        <v>19</v>
      </c>
      <c r="E39" s="10" t="s">
        <v>995</v>
      </c>
    </row>
    <row r="40">
      <c r="A40" s="4" t="s">
        <v>938</v>
      </c>
      <c r="B40" s="4" t="s">
        <v>161</v>
      </c>
      <c r="C40" s="4" t="s">
        <v>993</v>
      </c>
      <c r="D40" s="4" t="s">
        <v>12</v>
      </c>
      <c r="E40" s="10" t="s">
        <v>996</v>
      </c>
    </row>
    <row r="41">
      <c r="A41" s="4" t="s">
        <v>938</v>
      </c>
      <c r="B41" s="4" t="s">
        <v>161</v>
      </c>
      <c r="C41" s="4" t="s">
        <v>997</v>
      </c>
      <c r="D41" s="4" t="s">
        <v>12</v>
      </c>
      <c r="E41" s="3" t="s">
        <v>998</v>
      </c>
    </row>
    <row r="42">
      <c r="A42" s="4" t="s">
        <v>938</v>
      </c>
      <c r="B42" s="4" t="s">
        <v>161</v>
      </c>
      <c r="C42" s="4" t="s">
        <v>993</v>
      </c>
      <c r="D42" s="4" t="s">
        <v>23</v>
      </c>
      <c r="E42" s="10" t="s">
        <v>999</v>
      </c>
    </row>
    <row r="43">
      <c r="A43" s="4" t="s">
        <v>938</v>
      </c>
      <c r="B43" s="4" t="s">
        <v>161</v>
      </c>
      <c r="C43" s="4" t="s">
        <v>1000</v>
      </c>
      <c r="D43" s="4" t="s">
        <v>14</v>
      </c>
      <c r="E43" s="10" t="s">
        <v>1001</v>
      </c>
    </row>
    <row r="44">
      <c r="A44" s="4" t="s">
        <v>938</v>
      </c>
      <c r="B44" s="4" t="s">
        <v>161</v>
      </c>
      <c r="C44" s="4" t="s">
        <v>1000</v>
      </c>
      <c r="D44" s="4" t="s">
        <v>19</v>
      </c>
      <c r="E44" s="10" t="s">
        <v>1002</v>
      </c>
    </row>
    <row r="45">
      <c r="A45" s="4" t="s">
        <v>938</v>
      </c>
      <c r="B45" s="4" t="s">
        <v>161</v>
      </c>
      <c r="C45" s="4" t="s">
        <v>1000</v>
      </c>
      <c r="D45" s="4" t="s">
        <v>12</v>
      </c>
      <c r="E45" s="10" t="s">
        <v>1003</v>
      </c>
    </row>
    <row r="46">
      <c r="A46" s="4" t="s">
        <v>938</v>
      </c>
      <c r="B46" s="4" t="s">
        <v>161</v>
      </c>
      <c r="C46" s="4" t="s">
        <v>1000</v>
      </c>
      <c r="D46" s="4" t="s">
        <v>8</v>
      </c>
      <c r="E46" s="6" t="s">
        <v>1004</v>
      </c>
    </row>
    <row r="47">
      <c r="A47" s="4" t="s">
        <v>938</v>
      </c>
      <c r="B47" s="4" t="s">
        <v>161</v>
      </c>
      <c r="C47" s="4" t="s">
        <v>1000</v>
      </c>
      <c r="D47" s="4" t="s">
        <v>23</v>
      </c>
      <c r="E47" s="10" t="s">
        <v>1005</v>
      </c>
    </row>
    <row r="48">
      <c r="A48" s="4" t="s">
        <v>938</v>
      </c>
      <c r="B48" s="4" t="s">
        <v>1006</v>
      </c>
      <c r="C48" s="4" t="s">
        <v>1007</v>
      </c>
      <c r="D48" s="4" t="s">
        <v>14</v>
      </c>
      <c r="E48" s="3" t="s">
        <v>1008</v>
      </c>
    </row>
    <row r="49">
      <c r="A49" s="4" t="s">
        <v>938</v>
      </c>
      <c r="B49" s="4" t="s">
        <v>1006</v>
      </c>
      <c r="C49" s="4" t="s">
        <v>1007</v>
      </c>
      <c r="D49" s="4" t="s">
        <v>19</v>
      </c>
      <c r="E49" s="6" t="s">
        <v>1009</v>
      </c>
    </row>
    <row r="50">
      <c r="A50" s="4" t="s">
        <v>938</v>
      </c>
      <c r="B50" s="4" t="s">
        <v>1006</v>
      </c>
      <c r="C50" s="4" t="s">
        <v>1010</v>
      </c>
      <c r="D50" s="4" t="s">
        <v>12</v>
      </c>
      <c r="E50" s="10" t="s">
        <v>1011</v>
      </c>
    </row>
    <row r="51">
      <c r="A51" s="4" t="s">
        <v>938</v>
      </c>
      <c r="B51" s="4" t="s">
        <v>1006</v>
      </c>
      <c r="C51" s="4" t="s">
        <v>1010</v>
      </c>
      <c r="D51" s="4" t="s">
        <v>8</v>
      </c>
      <c r="E51" s="6" t="s">
        <v>1012</v>
      </c>
    </row>
    <row r="52">
      <c r="A52" s="4" t="s">
        <v>938</v>
      </c>
      <c r="B52" s="4" t="s">
        <v>1013</v>
      </c>
      <c r="C52" s="4" t="s">
        <v>1014</v>
      </c>
      <c r="D52" s="4" t="s">
        <v>14</v>
      </c>
      <c r="E52" s="10" t="s">
        <v>1015</v>
      </c>
    </row>
    <row r="53">
      <c r="A53" s="4" t="s">
        <v>938</v>
      </c>
      <c r="B53" s="4" t="s">
        <v>1013</v>
      </c>
      <c r="C53" s="4" t="s">
        <v>1014</v>
      </c>
      <c r="D53" s="4" t="s">
        <v>19</v>
      </c>
      <c r="E53" s="6" t="s">
        <v>1016</v>
      </c>
    </row>
    <row r="54">
      <c r="A54" s="4" t="s">
        <v>938</v>
      </c>
      <c r="B54" s="4" t="s">
        <v>1013</v>
      </c>
      <c r="C54" s="4" t="s">
        <v>1014</v>
      </c>
      <c r="D54" s="4" t="s">
        <v>8</v>
      </c>
      <c r="E54" s="6" t="s">
        <v>1017</v>
      </c>
    </row>
    <row r="55">
      <c r="A55" s="4" t="s">
        <v>938</v>
      </c>
      <c r="B55" s="4" t="s">
        <v>1013</v>
      </c>
      <c r="C55" s="4" t="s">
        <v>1014</v>
      </c>
      <c r="D55" s="4" t="s">
        <v>12</v>
      </c>
      <c r="E55" s="10" t="s">
        <v>1018</v>
      </c>
    </row>
    <row r="56">
      <c r="A56" s="4" t="s">
        <v>938</v>
      </c>
      <c r="B56" s="4" t="s">
        <v>1013</v>
      </c>
      <c r="C56" s="4" t="s">
        <v>1014</v>
      </c>
      <c r="D56" s="4" t="s">
        <v>23</v>
      </c>
      <c r="E56" s="6" t="s">
        <v>1019</v>
      </c>
    </row>
    <row r="57">
      <c r="A57" s="4" t="s">
        <v>938</v>
      </c>
      <c r="B57" s="4" t="s">
        <v>1020</v>
      </c>
      <c r="C57" s="4" t="s">
        <v>1021</v>
      </c>
      <c r="D57" s="4" t="s">
        <v>14</v>
      </c>
      <c r="E57" s="10" t="s">
        <v>1022</v>
      </c>
    </row>
    <row r="58">
      <c r="A58" s="4" t="s">
        <v>938</v>
      </c>
      <c r="B58" s="4" t="s">
        <v>1020</v>
      </c>
      <c r="C58" s="4" t="s">
        <v>1021</v>
      </c>
      <c r="D58" s="4" t="s">
        <v>19</v>
      </c>
      <c r="E58" s="6" t="s">
        <v>1023</v>
      </c>
    </row>
    <row r="59">
      <c r="A59" s="4" t="s">
        <v>938</v>
      </c>
      <c r="B59" s="4" t="s">
        <v>1020</v>
      </c>
      <c r="C59" s="4" t="s">
        <v>1021</v>
      </c>
      <c r="D59" s="4" t="s">
        <v>12</v>
      </c>
      <c r="E59" s="10" t="s">
        <v>1024</v>
      </c>
    </row>
    <row r="60">
      <c r="A60" s="4" t="s">
        <v>938</v>
      </c>
      <c r="B60" s="4" t="s">
        <v>1020</v>
      </c>
      <c r="C60" s="4" t="s">
        <v>1021</v>
      </c>
      <c r="D60" s="4" t="s">
        <v>23</v>
      </c>
      <c r="E60" s="10" t="s">
        <v>1025</v>
      </c>
    </row>
    <row r="61">
      <c r="A61" s="4" t="s">
        <v>938</v>
      </c>
      <c r="B61" s="4" t="s">
        <v>1020</v>
      </c>
      <c r="C61" s="4" t="s">
        <v>1021</v>
      </c>
      <c r="D61" s="4" t="s">
        <v>8</v>
      </c>
      <c r="E61" s="3" t="s">
        <v>1026</v>
      </c>
    </row>
    <row r="62">
      <c r="A62" s="4" t="s">
        <v>938</v>
      </c>
      <c r="B62" s="4" t="s">
        <v>1027</v>
      </c>
      <c r="C62" s="4" t="s">
        <v>1028</v>
      </c>
      <c r="D62" s="4" t="s">
        <v>12</v>
      </c>
      <c r="E62" s="10" t="s">
        <v>1029</v>
      </c>
    </row>
    <row r="63">
      <c r="A63" s="4" t="s">
        <v>938</v>
      </c>
      <c r="B63" s="4" t="s">
        <v>1027</v>
      </c>
      <c r="C63" s="4" t="s">
        <v>1030</v>
      </c>
      <c r="D63" s="4" t="s">
        <v>14</v>
      </c>
      <c r="E63" s="10" t="s">
        <v>1031</v>
      </c>
    </row>
    <row r="64">
      <c r="A64" s="4" t="s">
        <v>938</v>
      </c>
      <c r="B64" s="4" t="s">
        <v>1027</v>
      </c>
      <c r="C64" s="4" t="s">
        <v>1030</v>
      </c>
      <c r="D64" s="4" t="s">
        <v>19</v>
      </c>
      <c r="E64" s="6" t="s">
        <v>1032</v>
      </c>
    </row>
    <row r="65">
      <c r="A65" s="4" t="s">
        <v>938</v>
      </c>
      <c r="B65" s="4" t="s">
        <v>1027</v>
      </c>
      <c r="C65" s="4" t="s">
        <v>1030</v>
      </c>
      <c r="D65" s="4" t="s">
        <v>12</v>
      </c>
      <c r="E65" s="10" t="s">
        <v>1033</v>
      </c>
    </row>
    <row r="66">
      <c r="A66" s="4" t="s">
        <v>938</v>
      </c>
      <c r="B66" s="4" t="s">
        <v>1027</v>
      </c>
      <c r="C66" s="4" t="s">
        <v>1030</v>
      </c>
      <c r="D66" s="4" t="s">
        <v>23</v>
      </c>
      <c r="E66" s="6" t="s">
        <v>1034</v>
      </c>
    </row>
    <row r="67">
      <c r="A67" s="4" t="s">
        <v>938</v>
      </c>
      <c r="B67" s="4" t="s">
        <v>1035</v>
      </c>
      <c r="C67" s="4" t="s">
        <v>1036</v>
      </c>
      <c r="D67" s="4" t="s">
        <v>12</v>
      </c>
      <c r="E67" s="10" t="s">
        <v>1037</v>
      </c>
    </row>
    <row r="68">
      <c r="A68" s="4" t="s">
        <v>938</v>
      </c>
      <c r="B68" s="4" t="s">
        <v>1035</v>
      </c>
      <c r="C68" s="4" t="s">
        <v>1038</v>
      </c>
      <c r="D68" s="4" t="s">
        <v>14</v>
      </c>
      <c r="E68" s="10" t="s">
        <v>1039</v>
      </c>
    </row>
    <row r="69">
      <c r="A69" s="4" t="s">
        <v>938</v>
      </c>
      <c r="B69" s="4" t="s">
        <v>1035</v>
      </c>
      <c r="C69" s="4" t="s">
        <v>1038</v>
      </c>
      <c r="D69" s="4" t="s">
        <v>19</v>
      </c>
      <c r="E69" s="6" t="s">
        <v>1040</v>
      </c>
    </row>
    <row r="70">
      <c r="A70" s="4" t="s">
        <v>938</v>
      </c>
      <c r="B70" s="4" t="s">
        <v>1035</v>
      </c>
      <c r="C70" s="4" t="s">
        <v>1038</v>
      </c>
      <c r="D70" s="4" t="s">
        <v>12</v>
      </c>
      <c r="E70" s="10" t="s">
        <v>1041</v>
      </c>
    </row>
    <row r="71">
      <c r="A71" s="4" t="s">
        <v>938</v>
      </c>
      <c r="B71" s="4" t="s">
        <v>1035</v>
      </c>
      <c r="C71" s="4" t="s">
        <v>1038</v>
      </c>
      <c r="D71" s="4" t="s">
        <v>23</v>
      </c>
      <c r="E71" s="10" t="s">
        <v>1042</v>
      </c>
    </row>
    <row r="72">
      <c r="A72" s="4" t="s">
        <v>938</v>
      </c>
      <c r="B72" s="4" t="s">
        <v>1043</v>
      </c>
      <c r="C72" s="4" t="s">
        <v>1044</v>
      </c>
      <c r="D72" s="4" t="s">
        <v>14</v>
      </c>
      <c r="E72" s="10" t="s">
        <v>1045</v>
      </c>
    </row>
    <row r="73">
      <c r="A73" s="4" t="s">
        <v>938</v>
      </c>
      <c r="B73" s="4" t="s">
        <v>1043</v>
      </c>
      <c r="C73" s="4" t="s">
        <v>1044</v>
      </c>
      <c r="D73" s="4" t="s">
        <v>19</v>
      </c>
      <c r="E73" s="10" t="s">
        <v>1046</v>
      </c>
    </row>
    <row r="74">
      <c r="A74" s="4" t="s">
        <v>938</v>
      </c>
      <c r="B74" s="4" t="s">
        <v>1043</v>
      </c>
      <c r="C74" s="4" t="s">
        <v>1044</v>
      </c>
      <c r="D74" s="4" t="s">
        <v>12</v>
      </c>
      <c r="E74" s="10" t="s">
        <v>1047</v>
      </c>
    </row>
    <row r="75">
      <c r="A75" s="4" t="s">
        <v>938</v>
      </c>
      <c r="B75" s="4" t="s">
        <v>1043</v>
      </c>
      <c r="C75" s="4" t="s">
        <v>1044</v>
      </c>
      <c r="D75" s="4" t="s">
        <v>23</v>
      </c>
      <c r="E75" s="10" t="s">
        <v>1048</v>
      </c>
    </row>
    <row r="76">
      <c r="A76" s="4" t="s">
        <v>938</v>
      </c>
      <c r="B76" s="4" t="s">
        <v>1049</v>
      </c>
      <c r="C76" s="4" t="s">
        <v>1050</v>
      </c>
      <c r="D76" s="4" t="s">
        <v>19</v>
      </c>
      <c r="E76" s="6" t="s">
        <v>1051</v>
      </c>
    </row>
    <row r="77">
      <c r="A77" s="4" t="s">
        <v>938</v>
      </c>
      <c r="B77" s="4" t="s">
        <v>1049</v>
      </c>
      <c r="C77" s="4" t="s">
        <v>1050</v>
      </c>
      <c r="D77" s="4" t="s">
        <v>12</v>
      </c>
      <c r="E77" s="10" t="s">
        <v>1052</v>
      </c>
    </row>
    <row r="78">
      <c r="A78" s="4" t="s">
        <v>938</v>
      </c>
      <c r="B78" s="4" t="s">
        <v>1049</v>
      </c>
      <c r="C78" s="4" t="s">
        <v>1053</v>
      </c>
      <c r="D78" s="4" t="s">
        <v>14</v>
      </c>
      <c r="E78" s="10" t="s">
        <v>1054</v>
      </c>
    </row>
    <row r="79">
      <c r="A79" s="4" t="s">
        <v>938</v>
      </c>
      <c r="B79" s="4" t="s">
        <v>1049</v>
      </c>
      <c r="C79" s="4" t="s">
        <v>1053</v>
      </c>
      <c r="D79" s="4" t="s">
        <v>19</v>
      </c>
      <c r="E79" s="10" t="s">
        <v>1055</v>
      </c>
    </row>
    <row r="80">
      <c r="A80" s="4" t="s">
        <v>938</v>
      </c>
      <c r="B80" s="4" t="s">
        <v>1049</v>
      </c>
      <c r="C80" s="4" t="s">
        <v>1053</v>
      </c>
      <c r="D80" s="4" t="s">
        <v>8</v>
      </c>
      <c r="E80" s="6" t="s">
        <v>1056</v>
      </c>
    </row>
    <row r="81">
      <c r="A81" s="4" t="s">
        <v>938</v>
      </c>
      <c r="B81" s="4" t="s">
        <v>1049</v>
      </c>
      <c r="C81" s="4" t="s">
        <v>1053</v>
      </c>
      <c r="D81" s="4" t="s">
        <v>12</v>
      </c>
      <c r="E81" s="10" t="s">
        <v>1057</v>
      </c>
    </row>
    <row r="82">
      <c r="A82" s="4" t="s">
        <v>938</v>
      </c>
      <c r="B82" s="4" t="s">
        <v>1049</v>
      </c>
      <c r="C82" s="4" t="s">
        <v>1053</v>
      </c>
      <c r="D82" s="4" t="s">
        <v>23</v>
      </c>
      <c r="E82" s="6" t="s">
        <v>1058</v>
      </c>
    </row>
    <row r="83">
      <c r="A83" s="4" t="s">
        <v>938</v>
      </c>
      <c r="B83" s="4" t="s">
        <v>1059</v>
      </c>
      <c r="C83" s="4" t="s">
        <v>1060</v>
      </c>
      <c r="D83" s="4" t="s">
        <v>12</v>
      </c>
      <c r="E83" s="10" t="s">
        <v>1061</v>
      </c>
    </row>
    <row r="84">
      <c r="A84" s="4" t="s">
        <v>938</v>
      </c>
      <c r="B84" s="4" t="s">
        <v>1059</v>
      </c>
      <c r="C84" s="4" t="s">
        <v>1062</v>
      </c>
      <c r="D84" s="4" t="s">
        <v>14</v>
      </c>
      <c r="E84" s="10" t="s">
        <v>1063</v>
      </c>
    </row>
    <row r="85">
      <c r="A85" s="4" t="s">
        <v>938</v>
      </c>
      <c r="B85" s="4" t="s">
        <v>1059</v>
      </c>
      <c r="C85" s="4" t="s">
        <v>1062</v>
      </c>
      <c r="D85" s="4" t="s">
        <v>19</v>
      </c>
      <c r="E85" s="10" t="s">
        <v>1064</v>
      </c>
    </row>
    <row r="86">
      <c r="A86" s="4" t="s">
        <v>938</v>
      </c>
      <c r="B86" s="4" t="s">
        <v>1059</v>
      </c>
      <c r="C86" s="4" t="s">
        <v>1062</v>
      </c>
      <c r="D86" s="4" t="s">
        <v>12</v>
      </c>
      <c r="E86" s="10" t="s">
        <v>1065</v>
      </c>
    </row>
    <row r="87">
      <c r="A87" s="4" t="s">
        <v>938</v>
      </c>
      <c r="B87" s="4" t="s">
        <v>1059</v>
      </c>
      <c r="C87" s="4" t="s">
        <v>1062</v>
      </c>
      <c r="D87" s="4" t="s">
        <v>23</v>
      </c>
      <c r="E87" s="6" t="s">
        <v>1066</v>
      </c>
    </row>
    <row r="88">
      <c r="A88" s="4" t="s">
        <v>938</v>
      </c>
      <c r="B88" s="4" t="s">
        <v>1059</v>
      </c>
      <c r="C88" s="4" t="s">
        <v>1067</v>
      </c>
      <c r="D88" s="4" t="s">
        <v>14</v>
      </c>
      <c r="E88" s="10" t="s">
        <v>1068</v>
      </c>
    </row>
    <row r="89">
      <c r="A89" s="4" t="s">
        <v>938</v>
      </c>
      <c r="B89" s="4" t="s">
        <v>1069</v>
      </c>
      <c r="C89" s="4" t="s">
        <v>1070</v>
      </c>
      <c r="D89" s="4" t="s">
        <v>14</v>
      </c>
      <c r="E89" s="10" t="s">
        <v>1071</v>
      </c>
    </row>
    <row r="90">
      <c r="A90" s="4" t="s">
        <v>938</v>
      </c>
      <c r="B90" s="4" t="s">
        <v>1069</v>
      </c>
      <c r="C90" s="4" t="s">
        <v>1070</v>
      </c>
      <c r="D90" s="4" t="s">
        <v>19</v>
      </c>
      <c r="E90" s="6" t="s">
        <v>1072</v>
      </c>
    </row>
    <row r="91">
      <c r="A91" s="4" t="s">
        <v>938</v>
      </c>
      <c r="B91" s="4" t="s">
        <v>1069</v>
      </c>
      <c r="C91" s="4" t="s">
        <v>1070</v>
      </c>
      <c r="D91" s="4" t="s">
        <v>8</v>
      </c>
      <c r="E91" s="6" t="s">
        <v>1073</v>
      </c>
    </row>
    <row r="92">
      <c r="A92" s="4" t="s">
        <v>938</v>
      </c>
      <c r="B92" s="4" t="s">
        <v>1069</v>
      </c>
      <c r="C92" s="4" t="s">
        <v>1070</v>
      </c>
      <c r="D92" s="4" t="s">
        <v>12</v>
      </c>
      <c r="E92" s="10" t="s">
        <v>1074</v>
      </c>
    </row>
    <row r="93">
      <c r="A93" s="4" t="s">
        <v>938</v>
      </c>
      <c r="B93" s="4" t="s">
        <v>1069</v>
      </c>
      <c r="C93" s="4" t="s">
        <v>1070</v>
      </c>
      <c r="D93" s="4" t="s">
        <v>23</v>
      </c>
      <c r="E93" s="10" t="s">
        <v>1075</v>
      </c>
    </row>
    <row r="94">
      <c r="A94" s="4" t="s">
        <v>938</v>
      </c>
      <c r="B94" s="4" t="s">
        <v>1069</v>
      </c>
      <c r="C94" s="4" t="s">
        <v>1070</v>
      </c>
      <c r="D94" s="4" t="s">
        <v>60</v>
      </c>
      <c r="E94" s="10" t="s">
        <v>1076</v>
      </c>
    </row>
    <row r="95">
      <c r="A95" s="4" t="s">
        <v>938</v>
      </c>
      <c r="B95" s="4" t="s">
        <v>455</v>
      </c>
      <c r="C95" s="4" t="s">
        <v>1077</v>
      </c>
      <c r="D95" s="4" t="s">
        <v>12</v>
      </c>
      <c r="E95" s="10" t="s">
        <v>1078</v>
      </c>
    </row>
    <row r="96">
      <c r="A96" s="4" t="s">
        <v>938</v>
      </c>
      <c r="B96" s="4" t="s">
        <v>455</v>
      </c>
      <c r="C96" s="4" t="s">
        <v>1079</v>
      </c>
      <c r="D96" s="4" t="s">
        <v>14</v>
      </c>
      <c r="E96" s="10" t="s">
        <v>1080</v>
      </c>
    </row>
    <row r="97">
      <c r="A97" s="4" t="s">
        <v>938</v>
      </c>
      <c r="B97" s="4" t="s">
        <v>455</v>
      </c>
      <c r="C97" s="4" t="s">
        <v>1081</v>
      </c>
      <c r="D97" s="4" t="s">
        <v>14</v>
      </c>
      <c r="E97" s="10" t="s">
        <v>1082</v>
      </c>
    </row>
    <row r="98">
      <c r="A98" s="4" t="s">
        <v>938</v>
      </c>
      <c r="B98" s="4" t="s">
        <v>455</v>
      </c>
      <c r="C98" s="17" t="s">
        <v>1081</v>
      </c>
      <c r="D98" s="4" t="s">
        <v>19</v>
      </c>
      <c r="E98" s="6" t="s">
        <v>1083</v>
      </c>
    </row>
    <row r="99">
      <c r="A99" s="4" t="s">
        <v>938</v>
      </c>
      <c r="B99" s="4" t="s">
        <v>455</v>
      </c>
      <c r="C99" s="4" t="s">
        <v>1084</v>
      </c>
      <c r="D99" s="4" t="s">
        <v>14</v>
      </c>
      <c r="E99" s="10" t="s">
        <v>1085</v>
      </c>
    </row>
    <row r="100">
      <c r="A100" s="4" t="s">
        <v>938</v>
      </c>
      <c r="B100" s="4" t="s">
        <v>455</v>
      </c>
      <c r="C100" s="4" t="s">
        <v>1084</v>
      </c>
      <c r="D100" s="4" t="s">
        <v>19</v>
      </c>
      <c r="E100" s="6" t="s">
        <v>1086</v>
      </c>
    </row>
    <row r="101">
      <c r="A101" s="4" t="s">
        <v>938</v>
      </c>
      <c r="B101" s="4" t="s">
        <v>455</v>
      </c>
      <c r="C101" s="4" t="s">
        <v>1084</v>
      </c>
      <c r="D101" s="4" t="s">
        <v>12</v>
      </c>
      <c r="E101" s="10" t="s">
        <v>1087</v>
      </c>
    </row>
    <row r="102">
      <c r="A102" s="4" t="s">
        <v>938</v>
      </c>
      <c r="B102" s="4" t="s">
        <v>455</v>
      </c>
      <c r="C102" s="4" t="s">
        <v>1088</v>
      </c>
      <c r="D102" s="4" t="s">
        <v>14</v>
      </c>
      <c r="E102" s="10" t="s">
        <v>1089</v>
      </c>
    </row>
    <row r="103">
      <c r="A103" s="4" t="s">
        <v>938</v>
      </c>
      <c r="B103" s="4" t="s">
        <v>455</v>
      </c>
      <c r="C103" s="4" t="s">
        <v>1088</v>
      </c>
      <c r="D103" s="4" t="s">
        <v>19</v>
      </c>
      <c r="E103" s="6" t="s">
        <v>1090</v>
      </c>
    </row>
    <row r="104">
      <c r="A104" s="4" t="s">
        <v>938</v>
      </c>
      <c r="B104" s="4" t="s">
        <v>455</v>
      </c>
      <c r="C104" s="4" t="s">
        <v>1088</v>
      </c>
      <c r="D104" s="4" t="s">
        <v>12</v>
      </c>
      <c r="E104" s="10" t="s">
        <v>1091</v>
      </c>
    </row>
    <row r="105">
      <c r="A105" s="4" t="s">
        <v>938</v>
      </c>
      <c r="B105" s="4" t="s">
        <v>455</v>
      </c>
      <c r="C105" s="4" t="s">
        <v>1092</v>
      </c>
      <c r="D105" s="4" t="s">
        <v>14</v>
      </c>
      <c r="E105" s="10" t="s">
        <v>1093</v>
      </c>
    </row>
    <row r="106">
      <c r="A106" s="4" t="s">
        <v>938</v>
      </c>
      <c r="B106" s="4" t="s">
        <v>455</v>
      </c>
      <c r="C106" s="4" t="s">
        <v>1092</v>
      </c>
      <c r="D106" s="4" t="s">
        <v>19</v>
      </c>
      <c r="E106" s="13" t="s">
        <v>1094</v>
      </c>
    </row>
    <row r="107">
      <c r="A107" s="4" t="s">
        <v>938</v>
      </c>
      <c r="B107" s="4" t="s">
        <v>455</v>
      </c>
      <c r="C107" s="4" t="s">
        <v>1092</v>
      </c>
      <c r="D107" s="4" t="s">
        <v>12</v>
      </c>
      <c r="E107" s="3" t="s">
        <v>1095</v>
      </c>
    </row>
    <row r="108">
      <c r="A108" s="4" t="s">
        <v>938</v>
      </c>
      <c r="B108" s="4" t="s">
        <v>455</v>
      </c>
      <c r="C108" s="4" t="s">
        <v>1096</v>
      </c>
      <c r="D108" s="4" t="s">
        <v>14</v>
      </c>
      <c r="E108" s="10" t="s">
        <v>1097</v>
      </c>
    </row>
    <row r="109">
      <c r="A109" s="4" t="s">
        <v>938</v>
      </c>
      <c r="B109" s="4" t="s">
        <v>455</v>
      </c>
      <c r="C109" s="4" t="s">
        <v>1096</v>
      </c>
      <c r="D109" s="4" t="s">
        <v>19</v>
      </c>
      <c r="E109" s="10" t="s">
        <v>1098</v>
      </c>
    </row>
    <row r="110">
      <c r="A110" s="4" t="s">
        <v>938</v>
      </c>
      <c r="B110" s="4" t="s">
        <v>455</v>
      </c>
      <c r="C110" s="4" t="s">
        <v>1096</v>
      </c>
      <c r="D110" s="4" t="s">
        <v>12</v>
      </c>
      <c r="E110" s="10" t="s">
        <v>1099</v>
      </c>
    </row>
    <row r="111">
      <c r="A111" s="4" t="s">
        <v>938</v>
      </c>
      <c r="B111" s="4" t="s">
        <v>455</v>
      </c>
      <c r="C111" s="4" t="s">
        <v>1096</v>
      </c>
      <c r="D111" s="4" t="s">
        <v>8</v>
      </c>
      <c r="E111" s="6" t="s">
        <v>1100</v>
      </c>
    </row>
    <row r="112">
      <c r="A112" s="4" t="s">
        <v>938</v>
      </c>
      <c r="B112" s="4" t="s">
        <v>455</v>
      </c>
      <c r="C112" s="4" t="s">
        <v>1096</v>
      </c>
      <c r="D112" s="4" t="s">
        <v>23</v>
      </c>
      <c r="E112" s="6" t="s">
        <v>1101</v>
      </c>
    </row>
    <row r="113">
      <c r="A113" s="4" t="s">
        <v>938</v>
      </c>
      <c r="B113" s="4" t="s">
        <v>455</v>
      </c>
      <c r="C113" s="4" t="s">
        <v>1102</v>
      </c>
      <c r="D113" s="4" t="s">
        <v>14</v>
      </c>
      <c r="E113" s="6" t="s">
        <v>1103</v>
      </c>
    </row>
    <row r="114">
      <c r="A114" s="4" t="s">
        <v>938</v>
      </c>
      <c r="B114" s="4" t="s">
        <v>455</v>
      </c>
      <c r="C114" s="4" t="s">
        <v>1102</v>
      </c>
      <c r="D114" s="4" t="s">
        <v>12</v>
      </c>
      <c r="E114" s="10" t="s">
        <v>1104</v>
      </c>
    </row>
    <row r="115">
      <c r="A115" s="4" t="s">
        <v>938</v>
      </c>
      <c r="B115" s="4" t="s">
        <v>1105</v>
      </c>
      <c r="C115" s="4" t="s">
        <v>1106</v>
      </c>
      <c r="D115" s="4" t="s">
        <v>14</v>
      </c>
      <c r="E115" s="10" t="s">
        <v>1107</v>
      </c>
    </row>
    <row r="116">
      <c r="A116" s="4" t="s">
        <v>938</v>
      </c>
      <c r="B116" s="4" t="s">
        <v>1105</v>
      </c>
      <c r="C116" s="4" t="s">
        <v>1106</v>
      </c>
      <c r="D116" s="4" t="s">
        <v>19</v>
      </c>
      <c r="E116" s="10" t="s">
        <v>1108</v>
      </c>
    </row>
    <row r="117">
      <c r="A117" s="4" t="s">
        <v>938</v>
      </c>
      <c r="B117" s="4" t="s">
        <v>1105</v>
      </c>
      <c r="C117" s="4" t="s">
        <v>1106</v>
      </c>
      <c r="D117" s="4" t="s">
        <v>12</v>
      </c>
      <c r="E117" s="10" t="s">
        <v>1109</v>
      </c>
    </row>
    <row r="118">
      <c r="A118" s="4" t="s">
        <v>938</v>
      </c>
      <c r="B118" s="4" t="s">
        <v>1105</v>
      </c>
      <c r="C118" s="4" t="s">
        <v>1106</v>
      </c>
      <c r="D118" s="4" t="s">
        <v>23</v>
      </c>
      <c r="E118" s="10" t="s">
        <v>1110</v>
      </c>
    </row>
    <row r="119">
      <c r="A119" s="4" t="s">
        <v>938</v>
      </c>
      <c r="B119" s="4" t="s">
        <v>1111</v>
      </c>
      <c r="C119" s="4" t="s">
        <v>1112</v>
      </c>
      <c r="D119" s="4" t="s">
        <v>19</v>
      </c>
      <c r="E119" s="6" t="s">
        <v>1113</v>
      </c>
    </row>
    <row r="120">
      <c r="A120" s="4" t="s">
        <v>938</v>
      </c>
      <c r="B120" s="4" t="s">
        <v>1111</v>
      </c>
      <c r="C120" s="4" t="s">
        <v>1112</v>
      </c>
      <c r="D120" s="4" t="s">
        <v>12</v>
      </c>
      <c r="E120" s="10" t="s">
        <v>1114</v>
      </c>
    </row>
    <row r="121">
      <c r="A121" s="4" t="s">
        <v>938</v>
      </c>
      <c r="B121" s="4" t="s">
        <v>1111</v>
      </c>
      <c r="C121" s="4" t="s">
        <v>1115</v>
      </c>
      <c r="D121" s="4" t="s">
        <v>14</v>
      </c>
      <c r="E121" s="10" t="s">
        <v>1116</v>
      </c>
    </row>
    <row r="122">
      <c r="A122" s="4" t="s">
        <v>938</v>
      </c>
      <c r="B122" s="4" t="s">
        <v>1111</v>
      </c>
      <c r="C122" s="4" t="s">
        <v>1115</v>
      </c>
      <c r="D122" s="4" t="s">
        <v>19</v>
      </c>
      <c r="E122" s="6" t="s">
        <v>1117</v>
      </c>
    </row>
    <row r="123">
      <c r="A123" s="4" t="s">
        <v>938</v>
      </c>
      <c r="B123" s="4" t="s">
        <v>1111</v>
      </c>
      <c r="C123" s="4" t="s">
        <v>1115</v>
      </c>
      <c r="D123" s="4" t="s">
        <v>12</v>
      </c>
      <c r="E123" s="10" t="s">
        <v>1118</v>
      </c>
    </row>
    <row r="124">
      <c r="A124" s="4" t="s">
        <v>938</v>
      </c>
      <c r="B124" s="4" t="s">
        <v>1111</v>
      </c>
      <c r="C124" s="4" t="s">
        <v>1115</v>
      </c>
      <c r="D124" s="4" t="s">
        <v>8</v>
      </c>
      <c r="E124" s="6" t="s">
        <v>1119</v>
      </c>
    </row>
    <row r="125">
      <c r="A125" s="4" t="s">
        <v>938</v>
      </c>
      <c r="B125" s="4" t="s">
        <v>1111</v>
      </c>
      <c r="C125" s="4" t="s">
        <v>1120</v>
      </c>
      <c r="D125" s="4" t="s">
        <v>14</v>
      </c>
      <c r="E125" s="10" t="s">
        <v>1121</v>
      </c>
    </row>
    <row r="126">
      <c r="A126" s="4" t="s">
        <v>938</v>
      </c>
      <c r="B126" s="4" t="s">
        <v>1111</v>
      </c>
      <c r="C126" s="4" t="s">
        <v>1120</v>
      </c>
      <c r="D126" s="4" t="s">
        <v>19</v>
      </c>
      <c r="E126" s="6" t="s">
        <v>1122</v>
      </c>
    </row>
    <row r="127">
      <c r="A127" s="4" t="s">
        <v>938</v>
      </c>
      <c r="B127" s="4" t="s">
        <v>1111</v>
      </c>
      <c r="C127" s="4" t="s">
        <v>1120</v>
      </c>
      <c r="D127" s="4" t="s">
        <v>8</v>
      </c>
      <c r="E127" s="6" t="s">
        <v>1123</v>
      </c>
    </row>
    <row r="128">
      <c r="A128" s="4" t="s">
        <v>938</v>
      </c>
      <c r="B128" s="4" t="s">
        <v>1111</v>
      </c>
      <c r="C128" s="4" t="s">
        <v>1120</v>
      </c>
      <c r="D128" s="4" t="s">
        <v>12</v>
      </c>
      <c r="E128" s="10" t="s">
        <v>1124</v>
      </c>
    </row>
    <row r="129">
      <c r="A129" s="4" t="s">
        <v>938</v>
      </c>
      <c r="B129" s="4" t="s">
        <v>1111</v>
      </c>
      <c r="C129" s="4" t="s">
        <v>1120</v>
      </c>
      <c r="D129" s="4" t="s">
        <v>23</v>
      </c>
      <c r="E129" s="6" t="s">
        <v>1125</v>
      </c>
    </row>
    <row r="130">
      <c r="A130" s="4" t="s">
        <v>938</v>
      </c>
      <c r="B130" s="4" t="s">
        <v>1111</v>
      </c>
      <c r="C130" s="4" t="s">
        <v>1126</v>
      </c>
      <c r="D130" s="4" t="s">
        <v>14</v>
      </c>
      <c r="E130" s="10" t="s">
        <v>1127</v>
      </c>
    </row>
    <row r="131">
      <c r="A131" s="4" t="s">
        <v>938</v>
      </c>
      <c r="B131" s="4" t="s">
        <v>1111</v>
      </c>
      <c r="C131" s="4" t="s">
        <v>1126</v>
      </c>
      <c r="D131" s="4" t="s">
        <v>19</v>
      </c>
      <c r="E131" s="6" t="s">
        <v>1128</v>
      </c>
    </row>
    <row r="132">
      <c r="A132" s="4" t="s">
        <v>938</v>
      </c>
      <c r="B132" s="4" t="s">
        <v>1111</v>
      </c>
      <c r="C132" s="4" t="s">
        <v>1126</v>
      </c>
      <c r="D132" s="4" t="s">
        <v>12</v>
      </c>
      <c r="E132" s="10" t="s">
        <v>1129</v>
      </c>
    </row>
    <row r="133">
      <c r="A133" s="4" t="s">
        <v>938</v>
      </c>
      <c r="B133" s="4" t="s">
        <v>1111</v>
      </c>
      <c r="C133" s="4" t="s">
        <v>1126</v>
      </c>
      <c r="D133" s="4" t="s">
        <v>8</v>
      </c>
      <c r="E133" s="6" t="s">
        <v>1130</v>
      </c>
    </row>
    <row r="134">
      <c r="A134" s="4" t="s">
        <v>938</v>
      </c>
      <c r="B134" s="4" t="s">
        <v>1111</v>
      </c>
      <c r="C134" s="17" t="s">
        <v>1126</v>
      </c>
      <c r="D134" s="4" t="s">
        <v>23</v>
      </c>
      <c r="E134" s="10" t="s">
        <v>1131</v>
      </c>
    </row>
    <row r="135">
      <c r="A135" s="4" t="s">
        <v>938</v>
      </c>
      <c r="B135" s="4" t="s">
        <v>1111</v>
      </c>
      <c r="C135" s="4" t="s">
        <v>1132</v>
      </c>
      <c r="D135" s="4" t="s">
        <v>14</v>
      </c>
      <c r="E135" s="3" t="s">
        <v>1133</v>
      </c>
    </row>
    <row r="136">
      <c r="A136" s="4" t="s">
        <v>938</v>
      </c>
      <c r="B136" s="4" t="s">
        <v>1111</v>
      </c>
      <c r="C136" s="4" t="s">
        <v>1132</v>
      </c>
      <c r="D136" s="4" t="s">
        <v>19</v>
      </c>
      <c r="E136" s="13" t="s">
        <v>1134</v>
      </c>
    </row>
    <row r="137">
      <c r="A137" s="4" t="s">
        <v>938</v>
      </c>
      <c r="B137" s="4" t="s">
        <v>1111</v>
      </c>
      <c r="C137" s="4" t="s">
        <v>1132</v>
      </c>
      <c r="D137" s="4" t="s">
        <v>12</v>
      </c>
      <c r="E137" s="3" t="s">
        <v>1135</v>
      </c>
    </row>
    <row r="138">
      <c r="A138" s="4" t="s">
        <v>938</v>
      </c>
      <c r="B138" s="14" t="s">
        <v>1111</v>
      </c>
      <c r="C138" s="4" t="s">
        <v>1136</v>
      </c>
      <c r="D138" s="4" t="s">
        <v>14</v>
      </c>
      <c r="E138" s="25" t="s">
        <v>1137</v>
      </c>
    </row>
    <row r="139">
      <c r="A139" s="4" t="s">
        <v>938</v>
      </c>
      <c r="B139" s="4" t="s">
        <v>1111</v>
      </c>
      <c r="C139" s="4" t="s">
        <v>1136</v>
      </c>
      <c r="D139" s="4" t="s">
        <v>19</v>
      </c>
      <c r="E139" s="3" t="s">
        <v>1138</v>
      </c>
    </row>
    <row r="140">
      <c r="A140" s="4" t="s">
        <v>938</v>
      </c>
      <c r="B140" s="4" t="s">
        <v>1111</v>
      </c>
      <c r="C140" s="4" t="s">
        <v>1136</v>
      </c>
      <c r="D140" s="4" t="s">
        <v>12</v>
      </c>
      <c r="E140" s="3" t="s">
        <v>1139</v>
      </c>
    </row>
    <row r="141">
      <c r="A141" s="4" t="s">
        <v>938</v>
      </c>
      <c r="B141" s="4" t="s">
        <v>1111</v>
      </c>
      <c r="C141" s="4" t="s">
        <v>1136</v>
      </c>
      <c r="D141" s="4" t="s">
        <v>23</v>
      </c>
      <c r="E141" s="13" t="s">
        <v>1140</v>
      </c>
    </row>
    <row r="142">
      <c r="A142" s="4" t="s">
        <v>938</v>
      </c>
      <c r="B142" s="4" t="s">
        <v>1111</v>
      </c>
      <c r="C142" s="4" t="s">
        <v>1141</v>
      </c>
      <c r="D142" s="4" t="s">
        <v>14</v>
      </c>
      <c r="E142" s="3" t="s">
        <v>1142</v>
      </c>
    </row>
    <row r="143">
      <c r="A143" s="4" t="s">
        <v>938</v>
      </c>
      <c r="B143" s="4" t="s">
        <v>1111</v>
      </c>
      <c r="C143" s="4" t="s">
        <v>1141</v>
      </c>
      <c r="D143" s="4" t="s">
        <v>19</v>
      </c>
      <c r="E143" s="3" t="s">
        <v>1143</v>
      </c>
    </row>
    <row r="144">
      <c r="A144" s="4" t="s">
        <v>938</v>
      </c>
      <c r="B144" s="4" t="s">
        <v>1111</v>
      </c>
      <c r="C144" s="4" t="s">
        <v>1141</v>
      </c>
      <c r="D144" s="4" t="s">
        <v>8</v>
      </c>
      <c r="E144" s="6" t="s">
        <v>1144</v>
      </c>
    </row>
    <row r="145">
      <c r="A145" s="4" t="s">
        <v>938</v>
      </c>
      <c r="B145" s="4" t="s">
        <v>1111</v>
      </c>
      <c r="C145" s="4" t="s">
        <v>1141</v>
      </c>
      <c r="D145" s="4" t="s">
        <v>12</v>
      </c>
      <c r="E145" s="10" t="s">
        <v>1145</v>
      </c>
    </row>
    <row r="146">
      <c r="A146" s="4" t="s">
        <v>938</v>
      </c>
      <c r="B146" s="4" t="s">
        <v>1111</v>
      </c>
      <c r="C146" s="4" t="s">
        <v>1141</v>
      </c>
      <c r="D146" s="4" t="s">
        <v>23</v>
      </c>
      <c r="E146" s="13" t="s">
        <v>1146</v>
      </c>
    </row>
    <row r="147">
      <c r="A147" s="4" t="s">
        <v>938</v>
      </c>
      <c r="B147" s="4" t="s">
        <v>1147</v>
      </c>
      <c r="C147" s="17" t="s">
        <v>1148</v>
      </c>
      <c r="D147" s="4" t="s">
        <v>12</v>
      </c>
      <c r="E147" s="3" t="s">
        <v>1149</v>
      </c>
    </row>
    <row r="148">
      <c r="A148" s="4" t="s">
        <v>938</v>
      </c>
      <c r="B148" s="4" t="s">
        <v>1147</v>
      </c>
      <c r="C148" s="4" t="s">
        <v>1150</v>
      </c>
      <c r="D148" s="4" t="s">
        <v>14</v>
      </c>
      <c r="E148" s="10" t="s">
        <v>1151</v>
      </c>
    </row>
    <row r="149">
      <c r="A149" s="4" t="s">
        <v>938</v>
      </c>
      <c r="B149" s="4" t="s">
        <v>1147</v>
      </c>
      <c r="C149" s="4" t="s">
        <v>1150</v>
      </c>
      <c r="D149" s="4" t="s">
        <v>19</v>
      </c>
      <c r="E149" s="6" t="s">
        <v>1152</v>
      </c>
    </row>
    <row r="150">
      <c r="A150" s="4" t="s">
        <v>938</v>
      </c>
      <c r="B150" s="4" t="s">
        <v>1147</v>
      </c>
      <c r="C150" s="4" t="s">
        <v>1150</v>
      </c>
      <c r="D150" s="4" t="s">
        <v>12</v>
      </c>
      <c r="E150" s="10" t="s">
        <v>1153</v>
      </c>
    </row>
    <row r="151">
      <c r="A151" s="4" t="s">
        <v>938</v>
      </c>
      <c r="B151" s="4" t="s">
        <v>1147</v>
      </c>
      <c r="C151" s="4" t="s">
        <v>1150</v>
      </c>
      <c r="D151" s="4" t="s">
        <v>23</v>
      </c>
      <c r="E151" s="6" t="s">
        <v>1154</v>
      </c>
    </row>
    <row r="152">
      <c r="A152" s="4" t="s">
        <v>938</v>
      </c>
      <c r="B152" s="4" t="s">
        <v>1147</v>
      </c>
      <c r="C152" s="4" t="s">
        <v>1155</v>
      </c>
      <c r="D152" s="4" t="s">
        <v>14</v>
      </c>
      <c r="E152" s="3" t="s">
        <v>1156</v>
      </c>
    </row>
    <row r="153">
      <c r="A153" s="4" t="s">
        <v>938</v>
      </c>
      <c r="B153" s="4" t="s">
        <v>1147</v>
      </c>
      <c r="C153" s="17" t="s">
        <v>1157</v>
      </c>
      <c r="D153" s="4" t="s">
        <v>14</v>
      </c>
      <c r="E153" s="3" t="s">
        <v>1158</v>
      </c>
    </row>
    <row r="154">
      <c r="A154" s="4" t="s">
        <v>938</v>
      </c>
      <c r="B154" s="4" t="s">
        <v>1147</v>
      </c>
      <c r="C154" s="4" t="s">
        <v>1157</v>
      </c>
      <c r="D154" s="4" t="s">
        <v>12</v>
      </c>
      <c r="E154" s="10" t="s">
        <v>1159</v>
      </c>
    </row>
    <row r="155">
      <c r="A155" s="4" t="s">
        <v>938</v>
      </c>
      <c r="B155" s="4" t="s">
        <v>1160</v>
      </c>
      <c r="C155" s="4" t="s">
        <v>1161</v>
      </c>
      <c r="D155" s="4" t="s">
        <v>14</v>
      </c>
      <c r="E155" s="6" t="s">
        <v>1162</v>
      </c>
    </row>
    <row r="156">
      <c r="A156" s="4" t="s">
        <v>938</v>
      </c>
      <c r="B156" s="4" t="s">
        <v>1160</v>
      </c>
      <c r="C156" s="4" t="s">
        <v>1161</v>
      </c>
      <c r="D156" s="4" t="s">
        <v>19</v>
      </c>
      <c r="E156" s="6" t="s">
        <v>1163</v>
      </c>
    </row>
    <row r="157">
      <c r="A157" s="4" t="s">
        <v>938</v>
      </c>
      <c r="B157" s="4" t="s">
        <v>1164</v>
      </c>
      <c r="C157" s="4" t="s">
        <v>1165</v>
      </c>
      <c r="D157" s="4" t="s">
        <v>12</v>
      </c>
      <c r="E157" s="10" t="s">
        <v>1166</v>
      </c>
    </row>
    <row r="158">
      <c r="A158" s="4" t="s">
        <v>938</v>
      </c>
      <c r="B158" s="4" t="s">
        <v>1164</v>
      </c>
      <c r="C158" s="4" t="s">
        <v>1167</v>
      </c>
      <c r="D158" s="4" t="s">
        <v>14</v>
      </c>
      <c r="E158" s="10" t="s">
        <v>1168</v>
      </c>
    </row>
    <row r="159">
      <c r="A159" s="4" t="s">
        <v>938</v>
      </c>
      <c r="B159" s="4" t="s">
        <v>1164</v>
      </c>
      <c r="C159" s="4" t="s">
        <v>1167</v>
      </c>
      <c r="D159" s="4" t="s">
        <v>19</v>
      </c>
      <c r="E159" s="6" t="s">
        <v>1169</v>
      </c>
    </row>
    <row r="160">
      <c r="A160" s="4" t="s">
        <v>938</v>
      </c>
      <c r="B160" s="4" t="s">
        <v>1164</v>
      </c>
      <c r="C160" s="4" t="s">
        <v>1167</v>
      </c>
      <c r="D160" s="4" t="s">
        <v>12</v>
      </c>
      <c r="E160" s="10" t="s">
        <v>1170</v>
      </c>
    </row>
    <row r="161">
      <c r="A161" s="4" t="s">
        <v>938</v>
      </c>
      <c r="B161" s="4" t="s">
        <v>1164</v>
      </c>
      <c r="C161" s="4" t="s">
        <v>1167</v>
      </c>
      <c r="D161" s="4" t="s">
        <v>23</v>
      </c>
      <c r="E161" s="6" t="s">
        <v>1171</v>
      </c>
    </row>
    <row r="162">
      <c r="A162" s="4" t="s">
        <v>938</v>
      </c>
      <c r="B162" s="4" t="s">
        <v>1172</v>
      </c>
      <c r="C162" s="4" t="s">
        <v>1173</v>
      </c>
      <c r="D162" s="4" t="s">
        <v>12</v>
      </c>
      <c r="E162" s="10" t="s">
        <v>1174</v>
      </c>
    </row>
    <row r="163">
      <c r="A163" s="4" t="s">
        <v>938</v>
      </c>
      <c r="B163" s="4" t="s">
        <v>1172</v>
      </c>
      <c r="C163" s="4" t="s">
        <v>1175</v>
      </c>
      <c r="D163" s="4" t="s">
        <v>14</v>
      </c>
      <c r="E163" s="10" t="s">
        <v>1176</v>
      </c>
    </row>
    <row r="164">
      <c r="A164" s="4" t="s">
        <v>938</v>
      </c>
      <c r="B164" s="4" t="s">
        <v>1172</v>
      </c>
      <c r="C164" s="4" t="s">
        <v>1175</v>
      </c>
      <c r="D164" s="4" t="s">
        <v>19</v>
      </c>
      <c r="E164" s="6" t="s">
        <v>1177</v>
      </c>
    </row>
    <row r="165">
      <c r="A165" s="4" t="s">
        <v>938</v>
      </c>
      <c r="B165" s="4" t="s">
        <v>1172</v>
      </c>
      <c r="C165" s="4" t="s">
        <v>1175</v>
      </c>
      <c r="D165" s="4" t="s">
        <v>12</v>
      </c>
      <c r="E165" s="10" t="s">
        <v>1178</v>
      </c>
    </row>
    <row r="166">
      <c r="A166" s="4" t="s">
        <v>938</v>
      </c>
      <c r="B166" s="4" t="s">
        <v>1172</v>
      </c>
      <c r="C166" s="4" t="s">
        <v>1175</v>
      </c>
      <c r="D166" s="4" t="s">
        <v>23</v>
      </c>
      <c r="E166" s="6" t="s">
        <v>1179</v>
      </c>
    </row>
    <row r="167">
      <c r="A167" s="4" t="s">
        <v>938</v>
      </c>
      <c r="B167" s="4" t="s">
        <v>1180</v>
      </c>
      <c r="C167" s="4" t="s">
        <v>1181</v>
      </c>
      <c r="D167" s="4" t="s">
        <v>19</v>
      </c>
      <c r="E167" s="10" t="s">
        <v>1182</v>
      </c>
    </row>
    <row r="168">
      <c r="A168" s="4" t="s">
        <v>938</v>
      </c>
      <c r="B168" s="4" t="s">
        <v>1180</v>
      </c>
      <c r="C168" s="4" t="s">
        <v>1181</v>
      </c>
      <c r="D168" s="4" t="s">
        <v>12</v>
      </c>
      <c r="E168" s="10" t="s">
        <v>1183</v>
      </c>
    </row>
    <row r="169">
      <c r="A169" s="4" t="s">
        <v>938</v>
      </c>
      <c r="B169" s="4" t="s">
        <v>1180</v>
      </c>
      <c r="C169" s="4" t="s">
        <v>1184</v>
      </c>
      <c r="D169" s="4" t="s">
        <v>14</v>
      </c>
      <c r="E169" s="26" t="s">
        <v>1185</v>
      </c>
    </row>
    <row r="170">
      <c r="A170" s="4" t="s">
        <v>938</v>
      </c>
      <c r="B170" s="4" t="s">
        <v>1180</v>
      </c>
      <c r="C170" s="4" t="s">
        <v>1184</v>
      </c>
      <c r="D170" s="4" t="s">
        <v>12</v>
      </c>
      <c r="E170" s="10" t="s">
        <v>1186</v>
      </c>
    </row>
    <row r="171">
      <c r="A171" s="4" t="s">
        <v>938</v>
      </c>
      <c r="B171" s="4" t="s">
        <v>1180</v>
      </c>
      <c r="C171" s="4" t="s">
        <v>1184</v>
      </c>
      <c r="D171" s="4" t="s">
        <v>23</v>
      </c>
      <c r="E171" s="10" t="s">
        <v>1187</v>
      </c>
    </row>
    <row r="172">
      <c r="A172" s="4" t="s">
        <v>938</v>
      </c>
      <c r="B172" s="4" t="s">
        <v>1188</v>
      </c>
      <c r="C172" s="4" t="s">
        <v>1189</v>
      </c>
      <c r="D172" s="4" t="s">
        <v>12</v>
      </c>
      <c r="E172" s="10" t="s">
        <v>1190</v>
      </c>
    </row>
    <row r="173">
      <c r="A173" s="4" t="s">
        <v>938</v>
      </c>
      <c r="B173" s="4" t="s">
        <v>1188</v>
      </c>
      <c r="C173" s="4" t="s">
        <v>1191</v>
      </c>
      <c r="D173" s="4" t="s">
        <v>14</v>
      </c>
      <c r="E173" s="10" t="s">
        <v>1192</v>
      </c>
    </row>
    <row r="174">
      <c r="A174" s="4" t="s">
        <v>938</v>
      </c>
      <c r="B174" s="4" t="s">
        <v>1188</v>
      </c>
      <c r="C174" s="4" t="s">
        <v>1191</v>
      </c>
      <c r="D174" s="4" t="s">
        <v>12</v>
      </c>
      <c r="E174" s="10" t="s">
        <v>1193</v>
      </c>
    </row>
    <row r="175">
      <c r="A175" s="4" t="s">
        <v>938</v>
      </c>
      <c r="B175" s="4" t="s">
        <v>1188</v>
      </c>
      <c r="C175" s="4" t="s">
        <v>1194</v>
      </c>
      <c r="D175" s="4" t="s">
        <v>14</v>
      </c>
      <c r="E175" s="10" t="s">
        <v>1195</v>
      </c>
    </row>
    <row r="176">
      <c r="A176" s="4" t="s">
        <v>938</v>
      </c>
      <c r="B176" s="4" t="s">
        <v>1188</v>
      </c>
      <c r="C176" s="4" t="s">
        <v>1194</v>
      </c>
      <c r="D176" s="4" t="s">
        <v>19</v>
      </c>
      <c r="E176" s="10" t="s">
        <v>1196</v>
      </c>
    </row>
    <row r="177">
      <c r="A177" s="4" t="s">
        <v>938</v>
      </c>
      <c r="B177" s="4" t="s">
        <v>1188</v>
      </c>
      <c r="C177" s="4" t="s">
        <v>1194</v>
      </c>
      <c r="D177" s="4" t="s">
        <v>8</v>
      </c>
      <c r="E177" s="6" t="s">
        <v>1197</v>
      </c>
    </row>
    <row r="178">
      <c r="A178" s="4" t="s">
        <v>938</v>
      </c>
      <c r="B178" s="4" t="s">
        <v>1188</v>
      </c>
      <c r="C178" s="4" t="s">
        <v>1194</v>
      </c>
      <c r="D178" s="4" t="s">
        <v>12</v>
      </c>
      <c r="E178" s="10" t="s">
        <v>1198</v>
      </c>
    </row>
    <row r="179">
      <c r="A179" s="4" t="s">
        <v>938</v>
      </c>
      <c r="B179" s="4" t="s">
        <v>1188</v>
      </c>
      <c r="C179" s="4" t="s">
        <v>1194</v>
      </c>
      <c r="D179" s="4" t="s">
        <v>23</v>
      </c>
      <c r="E179" s="10" t="s">
        <v>1199</v>
      </c>
    </row>
    <row r="180">
      <c r="A180" s="4" t="s">
        <v>938</v>
      </c>
      <c r="B180" s="4" t="s">
        <v>1188</v>
      </c>
      <c r="C180" s="4" t="s">
        <v>1200</v>
      </c>
      <c r="D180" s="4" t="s">
        <v>14</v>
      </c>
      <c r="E180" s="10" t="s">
        <v>1201</v>
      </c>
    </row>
    <row r="181">
      <c r="A181" s="4" t="s">
        <v>938</v>
      </c>
      <c r="B181" s="4" t="s">
        <v>1188</v>
      </c>
      <c r="C181" s="4" t="s">
        <v>1200</v>
      </c>
      <c r="D181" s="4" t="s">
        <v>19</v>
      </c>
      <c r="E181" s="10" t="s">
        <v>1202</v>
      </c>
    </row>
    <row r="182">
      <c r="A182" s="4" t="s">
        <v>938</v>
      </c>
      <c r="B182" s="4" t="s">
        <v>1188</v>
      </c>
      <c r="C182" s="4" t="s">
        <v>1200</v>
      </c>
      <c r="D182" s="4" t="s">
        <v>12</v>
      </c>
      <c r="E182" s="10" t="s">
        <v>1203</v>
      </c>
    </row>
    <row r="183">
      <c r="A183" s="4" t="s">
        <v>938</v>
      </c>
      <c r="B183" s="4" t="s">
        <v>1188</v>
      </c>
      <c r="C183" s="4" t="s">
        <v>1200</v>
      </c>
      <c r="D183" s="4" t="s">
        <v>23</v>
      </c>
      <c r="E183" s="6" t="s">
        <v>1204</v>
      </c>
    </row>
    <row r="184">
      <c r="A184" s="4" t="s">
        <v>938</v>
      </c>
      <c r="B184" s="4" t="s">
        <v>1188</v>
      </c>
      <c r="C184" s="4" t="s">
        <v>1205</v>
      </c>
      <c r="D184" s="4" t="s">
        <v>14</v>
      </c>
      <c r="E184" s="10" t="s">
        <v>1206</v>
      </c>
    </row>
    <row r="185">
      <c r="A185" s="4" t="s">
        <v>938</v>
      </c>
      <c r="B185" s="4" t="s">
        <v>1188</v>
      </c>
      <c r="C185" s="4" t="s">
        <v>1205</v>
      </c>
      <c r="D185" s="4" t="s">
        <v>19</v>
      </c>
      <c r="E185" s="6" t="s">
        <v>1207</v>
      </c>
    </row>
    <row r="186">
      <c r="A186" s="4" t="s">
        <v>938</v>
      </c>
      <c r="B186" s="4" t="s">
        <v>1188</v>
      </c>
      <c r="C186" s="4" t="s">
        <v>1205</v>
      </c>
      <c r="D186" s="4" t="s">
        <v>12</v>
      </c>
      <c r="E186" s="10" t="s">
        <v>1208</v>
      </c>
    </row>
    <row r="187">
      <c r="A187" s="4" t="s">
        <v>938</v>
      </c>
      <c r="B187" s="4" t="s">
        <v>1188</v>
      </c>
      <c r="C187" s="4" t="s">
        <v>1205</v>
      </c>
      <c r="D187" s="4" t="s">
        <v>23</v>
      </c>
      <c r="E187" s="10" t="s">
        <v>1209</v>
      </c>
    </row>
    <row r="188">
      <c r="A188" s="4" t="s">
        <v>938</v>
      </c>
      <c r="B188" s="4" t="s">
        <v>1210</v>
      </c>
      <c r="C188" s="4" t="s">
        <v>1211</v>
      </c>
      <c r="D188" s="4" t="s">
        <v>12</v>
      </c>
      <c r="E188" s="10" t="s">
        <v>1212</v>
      </c>
    </row>
    <row r="189">
      <c r="A189" s="4" t="s">
        <v>938</v>
      </c>
      <c r="B189" s="4" t="s">
        <v>1210</v>
      </c>
      <c r="C189" s="4" t="s">
        <v>1213</v>
      </c>
      <c r="D189" s="4" t="s">
        <v>14</v>
      </c>
      <c r="E189" s="10" t="s">
        <v>1214</v>
      </c>
    </row>
    <row r="190">
      <c r="A190" s="4" t="s">
        <v>938</v>
      </c>
      <c r="B190" s="4" t="s">
        <v>1210</v>
      </c>
      <c r="C190" s="4" t="s">
        <v>1213</v>
      </c>
      <c r="D190" s="4" t="s">
        <v>19</v>
      </c>
      <c r="E190" s="6" t="s">
        <v>1215</v>
      </c>
    </row>
    <row r="191">
      <c r="A191" s="4" t="s">
        <v>938</v>
      </c>
      <c r="B191" s="4" t="s">
        <v>1210</v>
      </c>
      <c r="C191" s="4" t="s">
        <v>1213</v>
      </c>
      <c r="D191" s="4" t="s">
        <v>12</v>
      </c>
      <c r="E191" s="10" t="s">
        <v>1216</v>
      </c>
    </row>
    <row r="192">
      <c r="A192" s="4" t="s">
        <v>938</v>
      </c>
      <c r="B192" s="4" t="s">
        <v>1217</v>
      </c>
      <c r="C192" s="4" t="s">
        <v>1218</v>
      </c>
      <c r="D192" s="4" t="s">
        <v>14</v>
      </c>
      <c r="E192" s="10" t="s">
        <v>1219</v>
      </c>
    </row>
    <row r="193">
      <c r="A193" s="4" t="s">
        <v>938</v>
      </c>
      <c r="B193" s="4" t="s">
        <v>1217</v>
      </c>
      <c r="C193" s="4" t="s">
        <v>1218</v>
      </c>
      <c r="D193" s="4" t="s">
        <v>19</v>
      </c>
      <c r="E193" s="10" t="s">
        <v>1220</v>
      </c>
    </row>
    <row r="194">
      <c r="A194" s="4" t="s">
        <v>938</v>
      </c>
      <c r="B194" s="4" t="s">
        <v>1217</v>
      </c>
      <c r="C194" s="4" t="s">
        <v>1218</v>
      </c>
      <c r="D194" s="4" t="s">
        <v>12</v>
      </c>
      <c r="E194" s="10" t="s">
        <v>1221</v>
      </c>
    </row>
    <row r="195">
      <c r="A195" s="4" t="s">
        <v>938</v>
      </c>
      <c r="B195" s="4" t="s">
        <v>1217</v>
      </c>
      <c r="C195" s="4" t="s">
        <v>1218</v>
      </c>
      <c r="D195" s="4" t="s">
        <v>8</v>
      </c>
      <c r="E195" s="10" t="s">
        <v>1222</v>
      </c>
    </row>
    <row r="196">
      <c r="A196" s="4" t="s">
        <v>938</v>
      </c>
      <c r="B196" s="4" t="s">
        <v>1217</v>
      </c>
      <c r="C196" s="4" t="s">
        <v>1218</v>
      </c>
      <c r="D196" s="4" t="s">
        <v>1223</v>
      </c>
      <c r="E196" s="10" t="s">
        <v>1224</v>
      </c>
    </row>
    <row r="197">
      <c r="A197" s="4" t="s">
        <v>938</v>
      </c>
      <c r="B197" s="4" t="s">
        <v>1225</v>
      </c>
      <c r="C197" s="4" t="s">
        <v>1226</v>
      </c>
      <c r="D197" s="4" t="s">
        <v>19</v>
      </c>
      <c r="E197" s="6" t="s">
        <v>1227</v>
      </c>
    </row>
    <row r="198">
      <c r="A198" s="4" t="s">
        <v>938</v>
      </c>
      <c r="B198" s="4" t="s">
        <v>1225</v>
      </c>
      <c r="C198" s="4" t="s">
        <v>1228</v>
      </c>
      <c r="D198" s="4" t="s">
        <v>14</v>
      </c>
      <c r="E198" s="10" t="s">
        <v>1229</v>
      </c>
    </row>
    <row r="199">
      <c r="A199" s="4" t="s">
        <v>938</v>
      </c>
      <c r="B199" s="4" t="s">
        <v>1225</v>
      </c>
      <c r="C199" s="4" t="s">
        <v>1228</v>
      </c>
      <c r="D199" s="4" t="s">
        <v>19</v>
      </c>
      <c r="E199" s="10" t="s">
        <v>1230</v>
      </c>
    </row>
    <row r="200">
      <c r="A200" s="4" t="s">
        <v>938</v>
      </c>
      <c r="B200" s="4" t="s">
        <v>1225</v>
      </c>
      <c r="C200" s="4" t="s">
        <v>1228</v>
      </c>
      <c r="D200" s="4" t="s">
        <v>8</v>
      </c>
      <c r="E200" s="6" t="s">
        <v>1231</v>
      </c>
    </row>
    <row r="201">
      <c r="A201" s="4" t="s">
        <v>938</v>
      </c>
      <c r="B201" s="4" t="s">
        <v>1225</v>
      </c>
      <c r="C201" s="4" t="s">
        <v>1228</v>
      </c>
      <c r="D201" s="4" t="s">
        <v>12</v>
      </c>
      <c r="E201" s="10" t="s">
        <v>1232</v>
      </c>
    </row>
    <row r="202">
      <c r="A202" s="4" t="s">
        <v>938</v>
      </c>
      <c r="B202" s="4" t="s">
        <v>1225</v>
      </c>
      <c r="C202" s="4" t="s">
        <v>1228</v>
      </c>
      <c r="D202" s="4" t="s">
        <v>23</v>
      </c>
      <c r="E202" s="6" t="s">
        <v>1233</v>
      </c>
    </row>
    <row r="203">
      <c r="A203" s="4" t="s">
        <v>938</v>
      </c>
      <c r="B203" s="4" t="s">
        <v>1234</v>
      </c>
      <c r="C203" s="4" t="s">
        <v>1235</v>
      </c>
      <c r="D203" s="4" t="s">
        <v>14</v>
      </c>
      <c r="E203" s="10" t="s">
        <v>1236</v>
      </c>
    </row>
    <row r="204">
      <c r="A204" s="4" t="s">
        <v>938</v>
      </c>
      <c r="B204" s="4" t="s">
        <v>1234</v>
      </c>
      <c r="C204" s="4" t="s">
        <v>1235</v>
      </c>
      <c r="D204" s="4" t="s">
        <v>19</v>
      </c>
      <c r="E204" s="10" t="s">
        <v>1237</v>
      </c>
    </row>
    <row r="205">
      <c r="A205" s="4" t="s">
        <v>938</v>
      </c>
      <c r="B205" s="4" t="s">
        <v>1234</v>
      </c>
      <c r="C205" s="4" t="s">
        <v>1235</v>
      </c>
      <c r="D205" s="4" t="s">
        <v>8</v>
      </c>
      <c r="E205" s="6" t="s">
        <v>1238</v>
      </c>
    </row>
    <row r="206">
      <c r="A206" s="4" t="s">
        <v>938</v>
      </c>
      <c r="B206" s="4" t="s">
        <v>1234</v>
      </c>
      <c r="C206" s="4" t="s">
        <v>1235</v>
      </c>
      <c r="D206" s="4" t="s">
        <v>12</v>
      </c>
      <c r="E206" s="10" t="s">
        <v>1239</v>
      </c>
    </row>
    <row r="207">
      <c r="A207" s="4" t="s">
        <v>938</v>
      </c>
      <c r="B207" s="4" t="s">
        <v>1234</v>
      </c>
      <c r="C207" s="4" t="s">
        <v>1235</v>
      </c>
      <c r="D207" s="4" t="s">
        <v>23</v>
      </c>
      <c r="E207" s="10" t="s">
        <v>1240</v>
      </c>
    </row>
    <row r="208">
      <c r="A208" s="4" t="s">
        <v>938</v>
      </c>
      <c r="B208" s="4" t="s">
        <v>1241</v>
      </c>
      <c r="C208" s="4" t="s">
        <v>1242</v>
      </c>
      <c r="D208" s="4" t="s">
        <v>12</v>
      </c>
      <c r="E208" s="10" t="s">
        <v>1243</v>
      </c>
    </row>
    <row r="209">
      <c r="A209" s="4" t="s">
        <v>938</v>
      </c>
      <c r="B209" s="4" t="s">
        <v>1241</v>
      </c>
      <c r="C209" s="4" t="s">
        <v>1244</v>
      </c>
      <c r="D209" s="4" t="s">
        <v>14</v>
      </c>
      <c r="E209" s="26" t="s">
        <v>1245</v>
      </c>
    </row>
    <row r="210">
      <c r="A210" s="4" t="s">
        <v>938</v>
      </c>
      <c r="B210" s="4" t="s">
        <v>1241</v>
      </c>
      <c r="C210" s="4" t="s">
        <v>1244</v>
      </c>
      <c r="D210" s="4" t="s">
        <v>12</v>
      </c>
      <c r="E210" s="10" t="s">
        <v>1246</v>
      </c>
    </row>
    <row r="211">
      <c r="A211" s="4" t="s">
        <v>938</v>
      </c>
      <c r="B211" s="4" t="s">
        <v>1241</v>
      </c>
      <c r="C211" s="4" t="s">
        <v>1244</v>
      </c>
      <c r="D211" s="4" t="s">
        <v>23</v>
      </c>
      <c r="E211" s="6" t="s">
        <v>1247</v>
      </c>
    </row>
    <row r="212">
      <c r="A212" s="4" t="s">
        <v>938</v>
      </c>
      <c r="B212" s="4" t="s">
        <v>1248</v>
      </c>
      <c r="C212" s="4" t="s">
        <v>1249</v>
      </c>
      <c r="D212" s="4" t="s">
        <v>14</v>
      </c>
      <c r="E212" s="10" t="s">
        <v>1250</v>
      </c>
    </row>
    <row r="213">
      <c r="A213" s="4" t="s">
        <v>938</v>
      </c>
      <c r="B213" s="4" t="s">
        <v>1248</v>
      </c>
      <c r="C213" s="4" t="s">
        <v>1249</v>
      </c>
      <c r="D213" s="4" t="s">
        <v>19</v>
      </c>
      <c r="E213" s="10" t="s">
        <v>1251</v>
      </c>
    </row>
    <row r="214">
      <c r="A214" s="4" t="s">
        <v>938</v>
      </c>
      <c r="B214" s="4" t="s">
        <v>1248</v>
      </c>
      <c r="C214" s="4" t="s">
        <v>1249</v>
      </c>
      <c r="D214" s="4" t="s">
        <v>12</v>
      </c>
      <c r="E214" s="10" t="s">
        <v>1252</v>
      </c>
    </row>
    <row r="215">
      <c r="A215" s="4" t="s">
        <v>938</v>
      </c>
      <c r="B215" s="4" t="s">
        <v>1248</v>
      </c>
      <c r="C215" s="4" t="s">
        <v>1249</v>
      </c>
      <c r="D215" s="4" t="s">
        <v>23</v>
      </c>
      <c r="E215" s="10" t="s">
        <v>1253</v>
      </c>
    </row>
    <row r="216">
      <c r="A216" s="4" t="s">
        <v>938</v>
      </c>
      <c r="B216" s="4" t="s">
        <v>1254</v>
      </c>
      <c r="C216" s="4" t="s">
        <v>1255</v>
      </c>
      <c r="D216" s="4" t="s">
        <v>19</v>
      </c>
      <c r="E216" s="6" t="s">
        <v>1256</v>
      </c>
    </row>
    <row r="217">
      <c r="A217" s="4" t="s">
        <v>938</v>
      </c>
      <c r="B217" s="4" t="s">
        <v>1254</v>
      </c>
      <c r="C217" s="4" t="s">
        <v>1255</v>
      </c>
      <c r="D217" s="4" t="s">
        <v>12</v>
      </c>
      <c r="E217" s="10" t="s">
        <v>1257</v>
      </c>
    </row>
    <row r="218">
      <c r="A218" s="4" t="s">
        <v>938</v>
      </c>
      <c r="B218" s="4" t="s">
        <v>1254</v>
      </c>
      <c r="C218" s="4" t="s">
        <v>1258</v>
      </c>
      <c r="D218" s="4" t="s">
        <v>14</v>
      </c>
      <c r="E218" s="10" t="s">
        <v>1259</v>
      </c>
    </row>
    <row r="219">
      <c r="A219" s="4" t="s">
        <v>938</v>
      </c>
      <c r="B219" s="4" t="s">
        <v>1254</v>
      </c>
      <c r="C219" s="4" t="s">
        <v>1258</v>
      </c>
      <c r="D219" s="4" t="s">
        <v>19</v>
      </c>
      <c r="E219" s="6" t="s">
        <v>1260</v>
      </c>
    </row>
    <row r="220">
      <c r="A220" s="4" t="s">
        <v>938</v>
      </c>
      <c r="B220" s="4" t="s">
        <v>1254</v>
      </c>
      <c r="C220" s="4" t="s">
        <v>1258</v>
      </c>
      <c r="D220" s="4" t="s">
        <v>12</v>
      </c>
      <c r="E220" s="10" t="s">
        <v>1261</v>
      </c>
    </row>
    <row r="221">
      <c r="A221" s="4" t="s">
        <v>938</v>
      </c>
      <c r="B221" s="4" t="s">
        <v>1254</v>
      </c>
      <c r="C221" s="4" t="s">
        <v>1258</v>
      </c>
      <c r="D221" s="4" t="s">
        <v>23</v>
      </c>
      <c r="E221" s="6" t="s">
        <v>1262</v>
      </c>
    </row>
    <row r="222">
      <c r="A222" s="4" t="s">
        <v>938</v>
      </c>
      <c r="B222" s="4" t="s">
        <v>1263</v>
      </c>
      <c r="C222" s="4" t="s">
        <v>1264</v>
      </c>
      <c r="D222" s="4" t="s">
        <v>12</v>
      </c>
      <c r="E222" s="10" t="s">
        <v>1265</v>
      </c>
    </row>
    <row r="223">
      <c r="A223" s="4" t="s">
        <v>938</v>
      </c>
      <c r="B223" s="4" t="s">
        <v>1263</v>
      </c>
      <c r="C223" s="4" t="s">
        <v>1266</v>
      </c>
      <c r="D223" s="4" t="s">
        <v>14</v>
      </c>
      <c r="E223" s="10" t="s">
        <v>1267</v>
      </c>
    </row>
    <row r="224">
      <c r="A224" s="4" t="s">
        <v>938</v>
      </c>
      <c r="B224" s="4" t="s">
        <v>1263</v>
      </c>
      <c r="C224" s="4" t="s">
        <v>1266</v>
      </c>
      <c r="D224" s="4" t="s">
        <v>19</v>
      </c>
      <c r="E224" s="10" t="s">
        <v>1268</v>
      </c>
    </row>
    <row r="225">
      <c r="A225" s="4" t="s">
        <v>938</v>
      </c>
      <c r="B225" s="4" t="s">
        <v>1263</v>
      </c>
      <c r="C225" s="4" t="s">
        <v>1266</v>
      </c>
      <c r="D225" s="4" t="s">
        <v>12</v>
      </c>
      <c r="E225" s="10" t="s">
        <v>1269</v>
      </c>
    </row>
    <row r="226">
      <c r="A226" s="4" t="s">
        <v>938</v>
      </c>
      <c r="B226" s="4" t="s">
        <v>1263</v>
      </c>
      <c r="C226" s="4" t="s">
        <v>1266</v>
      </c>
      <c r="D226" s="4" t="s">
        <v>23</v>
      </c>
      <c r="E226" s="6" t="s">
        <v>1270</v>
      </c>
    </row>
    <row r="227">
      <c r="A227" s="4" t="s">
        <v>938</v>
      </c>
      <c r="B227" s="4" t="s">
        <v>1263</v>
      </c>
      <c r="C227" s="4" t="s">
        <v>1271</v>
      </c>
      <c r="D227" s="4" t="s">
        <v>14</v>
      </c>
      <c r="E227" s="10" t="s">
        <v>1272</v>
      </c>
    </row>
    <row r="228">
      <c r="A228" s="4" t="s">
        <v>938</v>
      </c>
      <c r="B228" s="4" t="s">
        <v>1263</v>
      </c>
      <c r="C228" s="4" t="s">
        <v>1271</v>
      </c>
      <c r="D228" s="4" t="s">
        <v>19</v>
      </c>
      <c r="E228" s="10" t="s">
        <v>1273</v>
      </c>
    </row>
    <row r="229">
      <c r="A229" s="4" t="s">
        <v>938</v>
      </c>
      <c r="B229" s="4" t="s">
        <v>1263</v>
      </c>
      <c r="C229" s="4" t="s">
        <v>1271</v>
      </c>
      <c r="D229" s="4" t="s">
        <v>12</v>
      </c>
      <c r="E229" s="10" t="s">
        <v>1274</v>
      </c>
    </row>
    <row r="230">
      <c r="A230" s="4" t="s">
        <v>938</v>
      </c>
      <c r="B230" s="4" t="s">
        <v>1263</v>
      </c>
      <c r="C230" s="4" t="s">
        <v>1271</v>
      </c>
      <c r="D230" s="4" t="s">
        <v>23</v>
      </c>
      <c r="E230" s="6" t="s">
        <v>1275</v>
      </c>
    </row>
    <row r="231">
      <c r="A231" s="4" t="s">
        <v>938</v>
      </c>
      <c r="B231" s="4" t="s">
        <v>1263</v>
      </c>
      <c r="C231" s="4" t="s">
        <v>1271</v>
      </c>
      <c r="D231" s="4" t="s">
        <v>8</v>
      </c>
      <c r="E231" s="6" t="s">
        <v>1276</v>
      </c>
    </row>
    <row r="232">
      <c r="A232" s="4" t="s">
        <v>938</v>
      </c>
      <c r="B232" s="4" t="s">
        <v>1277</v>
      </c>
      <c r="C232" s="4" t="s">
        <v>1278</v>
      </c>
      <c r="D232" s="4" t="s">
        <v>12</v>
      </c>
      <c r="E232" s="10" t="s">
        <v>1279</v>
      </c>
    </row>
    <row r="233">
      <c r="A233" s="4" t="s">
        <v>938</v>
      </c>
      <c r="B233" s="4" t="s">
        <v>1277</v>
      </c>
      <c r="C233" s="4" t="s">
        <v>1280</v>
      </c>
      <c r="D233" s="4" t="s">
        <v>14</v>
      </c>
      <c r="E233" s="10" t="s">
        <v>1281</v>
      </c>
    </row>
    <row r="234">
      <c r="A234" s="4" t="s">
        <v>938</v>
      </c>
      <c r="B234" s="4" t="s">
        <v>1277</v>
      </c>
      <c r="C234" s="4" t="s">
        <v>1280</v>
      </c>
      <c r="D234" s="4" t="s">
        <v>19</v>
      </c>
      <c r="E234" s="10" t="s">
        <v>1282</v>
      </c>
    </row>
    <row r="235">
      <c r="A235" s="4" t="s">
        <v>938</v>
      </c>
      <c r="B235" s="4" t="s">
        <v>1277</v>
      </c>
      <c r="C235" s="4" t="s">
        <v>1280</v>
      </c>
      <c r="D235" s="4" t="s">
        <v>12</v>
      </c>
      <c r="E235" s="10" t="s">
        <v>1283</v>
      </c>
    </row>
    <row r="236">
      <c r="A236" s="4" t="s">
        <v>938</v>
      </c>
      <c r="B236" s="4" t="s">
        <v>1277</v>
      </c>
      <c r="C236" s="4" t="s">
        <v>1280</v>
      </c>
      <c r="D236" s="4" t="s">
        <v>23</v>
      </c>
      <c r="E236" s="6" t="s">
        <v>1284</v>
      </c>
    </row>
    <row r="237">
      <c r="A237" s="4" t="s">
        <v>938</v>
      </c>
      <c r="B237" s="4" t="s">
        <v>1285</v>
      </c>
      <c r="C237" s="4" t="s">
        <v>1286</v>
      </c>
      <c r="D237" s="4" t="s">
        <v>14</v>
      </c>
      <c r="E237" s="10" t="s">
        <v>1287</v>
      </c>
    </row>
    <row r="238">
      <c r="A238" s="4" t="s">
        <v>938</v>
      </c>
      <c r="B238" s="4" t="s">
        <v>1285</v>
      </c>
      <c r="C238" s="4" t="s">
        <v>1286</v>
      </c>
      <c r="D238" s="4" t="s">
        <v>19</v>
      </c>
      <c r="E238" s="10" t="s">
        <v>1288</v>
      </c>
    </row>
    <row r="239">
      <c r="A239" s="4" t="s">
        <v>938</v>
      </c>
      <c r="B239" s="4" t="s">
        <v>1285</v>
      </c>
      <c r="C239" s="4" t="s">
        <v>1286</v>
      </c>
      <c r="D239" s="4" t="s">
        <v>12</v>
      </c>
      <c r="E239" s="10" t="s">
        <v>1289</v>
      </c>
    </row>
    <row r="240">
      <c r="A240" s="4" t="s">
        <v>938</v>
      </c>
      <c r="B240" s="4" t="s">
        <v>1285</v>
      </c>
      <c r="C240" s="4" t="s">
        <v>1286</v>
      </c>
      <c r="D240" s="4" t="s">
        <v>23</v>
      </c>
      <c r="E240" s="6" t="s">
        <v>1290</v>
      </c>
    </row>
    <row r="241">
      <c r="A241" s="4" t="s">
        <v>938</v>
      </c>
      <c r="B241" s="4" t="s">
        <v>1285</v>
      </c>
      <c r="C241" s="4" t="s">
        <v>1286</v>
      </c>
      <c r="D241" s="4" t="s">
        <v>8</v>
      </c>
      <c r="E241" s="6" t="s">
        <v>1291</v>
      </c>
    </row>
    <row r="242">
      <c r="A242" s="4" t="s">
        <v>938</v>
      </c>
      <c r="B242" s="4" t="s">
        <v>1292</v>
      </c>
      <c r="C242" s="4" t="s">
        <v>1293</v>
      </c>
      <c r="D242" s="4" t="s">
        <v>19</v>
      </c>
      <c r="E242" s="6" t="s">
        <v>1294</v>
      </c>
    </row>
    <row r="243">
      <c r="A243" s="4" t="s">
        <v>938</v>
      </c>
      <c r="B243" s="4" t="s">
        <v>1292</v>
      </c>
      <c r="C243" s="4" t="s">
        <v>1293</v>
      </c>
      <c r="D243" s="4" t="s">
        <v>12</v>
      </c>
      <c r="E243" s="10" t="s">
        <v>1295</v>
      </c>
    </row>
    <row r="244">
      <c r="A244" s="4" t="s">
        <v>938</v>
      </c>
      <c r="B244" s="4" t="s">
        <v>1292</v>
      </c>
      <c r="C244" s="4" t="s">
        <v>1296</v>
      </c>
      <c r="D244" s="4" t="s">
        <v>14</v>
      </c>
      <c r="E244" s="10" t="s">
        <v>1297</v>
      </c>
    </row>
    <row r="245">
      <c r="A245" s="4" t="s">
        <v>938</v>
      </c>
      <c r="B245" s="4" t="s">
        <v>1292</v>
      </c>
      <c r="C245" s="4" t="s">
        <v>1296</v>
      </c>
      <c r="D245" s="4" t="s">
        <v>19</v>
      </c>
      <c r="E245" s="10" t="s">
        <v>1298</v>
      </c>
    </row>
    <row r="246">
      <c r="A246" s="4" t="s">
        <v>938</v>
      </c>
      <c r="B246" s="4" t="s">
        <v>1292</v>
      </c>
      <c r="C246" s="4" t="s">
        <v>1296</v>
      </c>
      <c r="D246" s="4" t="s">
        <v>12</v>
      </c>
      <c r="E246" s="10" t="s">
        <v>1299</v>
      </c>
    </row>
    <row r="247">
      <c r="A247" s="4" t="s">
        <v>938</v>
      </c>
      <c r="B247" s="4" t="s">
        <v>1292</v>
      </c>
      <c r="C247" s="4" t="s">
        <v>1296</v>
      </c>
      <c r="D247" s="4" t="s">
        <v>23</v>
      </c>
      <c r="E247" s="10" t="s">
        <v>1300</v>
      </c>
    </row>
    <row r="248">
      <c r="A248" s="4" t="s">
        <v>938</v>
      </c>
      <c r="B248" s="4" t="s">
        <v>1292</v>
      </c>
      <c r="C248" s="4" t="s">
        <v>1301</v>
      </c>
      <c r="D248" s="4" t="s">
        <v>14</v>
      </c>
      <c r="E248" s="10" t="s">
        <v>1302</v>
      </c>
    </row>
    <row r="249">
      <c r="A249" s="4" t="s">
        <v>938</v>
      </c>
      <c r="B249" s="4" t="s">
        <v>1292</v>
      </c>
      <c r="C249" s="4" t="s">
        <v>1301</v>
      </c>
      <c r="D249" s="4" t="s">
        <v>19</v>
      </c>
      <c r="E249" s="6" t="s">
        <v>1303</v>
      </c>
    </row>
    <row r="250">
      <c r="A250" s="4" t="s">
        <v>938</v>
      </c>
      <c r="B250" s="4" t="s">
        <v>1292</v>
      </c>
      <c r="C250" s="4" t="s">
        <v>1301</v>
      </c>
      <c r="D250" s="4" t="s">
        <v>12</v>
      </c>
      <c r="E250" s="10" t="s">
        <v>1304</v>
      </c>
    </row>
    <row r="251">
      <c r="A251" s="4" t="s">
        <v>938</v>
      </c>
      <c r="B251" s="4" t="s">
        <v>1292</v>
      </c>
      <c r="C251" s="4" t="s">
        <v>1301</v>
      </c>
      <c r="D251" s="4" t="s">
        <v>8</v>
      </c>
      <c r="E251" s="6" t="s">
        <v>1305</v>
      </c>
    </row>
    <row r="252">
      <c r="A252" s="4" t="s">
        <v>938</v>
      </c>
      <c r="B252" s="4" t="s">
        <v>1292</v>
      </c>
      <c r="C252" s="17" t="s">
        <v>1301</v>
      </c>
      <c r="D252" s="4" t="s">
        <v>23</v>
      </c>
      <c r="E252" s="6" t="s">
        <v>1306</v>
      </c>
    </row>
    <row r="253">
      <c r="A253" s="4" t="s">
        <v>938</v>
      </c>
      <c r="B253" s="4" t="s">
        <v>1307</v>
      </c>
      <c r="C253" s="17" t="s">
        <v>1308</v>
      </c>
      <c r="D253" s="4" t="s">
        <v>19</v>
      </c>
      <c r="E253" s="6" t="s">
        <v>1309</v>
      </c>
    </row>
    <row r="254">
      <c r="A254" s="4" t="s">
        <v>938</v>
      </c>
      <c r="B254" s="4" t="s">
        <v>1307</v>
      </c>
      <c r="C254" s="17" t="s">
        <v>1308</v>
      </c>
      <c r="D254" s="4" t="s">
        <v>12</v>
      </c>
      <c r="E254" s="10" t="s">
        <v>1310</v>
      </c>
    </row>
    <row r="255">
      <c r="A255" s="4" t="s">
        <v>938</v>
      </c>
      <c r="B255" s="4" t="s">
        <v>1307</v>
      </c>
      <c r="C255" s="4" t="s">
        <v>1311</v>
      </c>
      <c r="D255" s="4" t="s">
        <v>19</v>
      </c>
      <c r="E255" s="6" t="s">
        <v>1312</v>
      </c>
    </row>
    <row r="256">
      <c r="A256" s="4" t="s">
        <v>938</v>
      </c>
      <c r="B256" s="4" t="s">
        <v>1307</v>
      </c>
      <c r="C256" s="4" t="s">
        <v>1313</v>
      </c>
      <c r="D256" s="4" t="s">
        <v>14</v>
      </c>
      <c r="E256" s="10" t="s">
        <v>1314</v>
      </c>
    </row>
    <row r="257">
      <c r="A257" s="4" t="s">
        <v>938</v>
      </c>
      <c r="B257" s="4" t="s">
        <v>1307</v>
      </c>
      <c r="C257" s="4" t="s">
        <v>1313</v>
      </c>
      <c r="D257" s="4" t="s">
        <v>19</v>
      </c>
      <c r="E257" s="6" t="s">
        <v>1315</v>
      </c>
    </row>
    <row r="258">
      <c r="A258" s="4" t="s">
        <v>938</v>
      </c>
      <c r="B258" s="4" t="s">
        <v>1307</v>
      </c>
      <c r="C258" s="4" t="s">
        <v>1313</v>
      </c>
      <c r="D258" s="4" t="s">
        <v>8</v>
      </c>
      <c r="E258" s="6" t="s">
        <v>1316</v>
      </c>
    </row>
    <row r="259">
      <c r="A259" s="4" t="s">
        <v>938</v>
      </c>
      <c r="B259" s="4" t="s">
        <v>1307</v>
      </c>
      <c r="C259" s="4" t="s">
        <v>1313</v>
      </c>
      <c r="D259" s="4" t="s">
        <v>12</v>
      </c>
      <c r="E259" s="10" t="s">
        <v>1317</v>
      </c>
    </row>
    <row r="260">
      <c r="A260" s="4" t="s">
        <v>938</v>
      </c>
      <c r="B260" s="4" t="s">
        <v>1307</v>
      </c>
      <c r="C260" s="4" t="s">
        <v>1313</v>
      </c>
      <c r="D260" s="4" t="s">
        <v>23</v>
      </c>
      <c r="E260" s="6" t="s">
        <v>1318</v>
      </c>
    </row>
    <row r="261">
      <c r="A261" s="4" t="s">
        <v>938</v>
      </c>
      <c r="B261" s="4" t="s">
        <v>1319</v>
      </c>
      <c r="C261" s="4" t="s">
        <v>1320</v>
      </c>
      <c r="D261" s="4" t="s">
        <v>12</v>
      </c>
      <c r="E261" s="10" t="s">
        <v>1321</v>
      </c>
    </row>
    <row r="262">
      <c r="A262" s="4" t="s">
        <v>938</v>
      </c>
      <c r="B262" s="4" t="s">
        <v>1319</v>
      </c>
      <c r="C262" s="4" t="s">
        <v>1322</v>
      </c>
      <c r="D262" s="4" t="s">
        <v>14</v>
      </c>
      <c r="E262" s="10" t="s">
        <v>1323</v>
      </c>
    </row>
    <row r="263">
      <c r="A263" s="4" t="s">
        <v>938</v>
      </c>
      <c r="B263" s="4" t="s">
        <v>1319</v>
      </c>
      <c r="C263" s="4" t="s">
        <v>1322</v>
      </c>
      <c r="D263" s="4" t="s">
        <v>19</v>
      </c>
      <c r="E263" s="10" t="s">
        <v>1324</v>
      </c>
    </row>
    <row r="264">
      <c r="A264" s="4" t="s">
        <v>938</v>
      </c>
      <c r="B264" s="4" t="s">
        <v>1319</v>
      </c>
      <c r="C264" s="4" t="s">
        <v>1322</v>
      </c>
      <c r="D264" s="4" t="s">
        <v>8</v>
      </c>
      <c r="E264" s="6" t="s">
        <v>1325</v>
      </c>
    </row>
    <row r="265">
      <c r="A265" s="4" t="s">
        <v>938</v>
      </c>
      <c r="B265" s="4" t="s">
        <v>1319</v>
      </c>
      <c r="C265" s="4" t="s">
        <v>1322</v>
      </c>
      <c r="D265" s="4" t="s">
        <v>12</v>
      </c>
      <c r="E265" s="10" t="s">
        <v>1326</v>
      </c>
    </row>
    <row r="266">
      <c r="A266" s="4" t="s">
        <v>938</v>
      </c>
      <c r="B266" s="4" t="s">
        <v>1319</v>
      </c>
      <c r="C266" s="4" t="s">
        <v>1322</v>
      </c>
      <c r="D266" s="4" t="s">
        <v>23</v>
      </c>
      <c r="E266" s="6" t="s">
        <v>1327</v>
      </c>
    </row>
    <row r="267">
      <c r="A267" s="4" t="s">
        <v>938</v>
      </c>
      <c r="B267" s="4" t="s">
        <v>1328</v>
      </c>
      <c r="C267" s="17" t="s">
        <v>1329</v>
      </c>
      <c r="D267" s="4" t="s">
        <v>14</v>
      </c>
      <c r="E267" s="10" t="s">
        <v>1330</v>
      </c>
    </row>
    <row r="268">
      <c r="A268" s="4" t="s">
        <v>938</v>
      </c>
      <c r="B268" s="4" t="s">
        <v>1328</v>
      </c>
      <c r="C268" s="4" t="s">
        <v>1329</v>
      </c>
      <c r="D268" s="4" t="s">
        <v>19</v>
      </c>
      <c r="E268" s="6" t="s">
        <v>1331</v>
      </c>
    </row>
    <row r="269">
      <c r="A269" s="4" t="s">
        <v>938</v>
      </c>
      <c r="B269" s="4" t="s">
        <v>1328</v>
      </c>
      <c r="C269" s="4" t="s">
        <v>1329</v>
      </c>
      <c r="D269" s="4" t="s">
        <v>19</v>
      </c>
      <c r="E269" s="10" t="s">
        <v>1332</v>
      </c>
    </row>
    <row r="270">
      <c r="A270" s="33" t="s">
        <v>938</v>
      </c>
      <c r="B270" s="33" t="s">
        <v>1328</v>
      </c>
      <c r="C270" s="33" t="s">
        <v>1329</v>
      </c>
      <c r="D270" s="33" t="s">
        <v>1223</v>
      </c>
      <c r="E270" s="27" t="s">
        <v>1333</v>
      </c>
    </row>
    <row r="271">
      <c r="A271" s="33" t="s">
        <v>938</v>
      </c>
      <c r="B271" s="33" t="s">
        <v>1328</v>
      </c>
      <c r="C271" s="33" t="s">
        <v>1329</v>
      </c>
      <c r="D271" s="33" t="s">
        <v>1223</v>
      </c>
      <c r="E271" s="27" t="s">
        <v>1334</v>
      </c>
    </row>
    <row r="272">
      <c r="A272" s="33" t="s">
        <v>938</v>
      </c>
      <c r="B272" s="33" t="s">
        <v>1328</v>
      </c>
      <c r="C272" s="33" t="s">
        <v>1329</v>
      </c>
      <c r="D272" s="33" t="s">
        <v>12</v>
      </c>
      <c r="E272" s="34" t="s">
        <v>1335</v>
      </c>
    </row>
    <row r="273">
      <c r="A273" s="33" t="s">
        <v>938</v>
      </c>
      <c r="B273" s="33" t="s">
        <v>1328</v>
      </c>
      <c r="C273" s="33" t="s">
        <v>1329</v>
      </c>
      <c r="D273" s="33" t="s">
        <v>968</v>
      </c>
      <c r="E273" s="27" t="s">
        <v>1336</v>
      </c>
    </row>
    <row r="274">
      <c r="A274" s="33" t="s">
        <v>938</v>
      </c>
      <c r="B274" s="33" t="s">
        <v>1328</v>
      </c>
      <c r="C274" s="33" t="s">
        <v>1329</v>
      </c>
      <c r="D274" s="33" t="s">
        <v>23</v>
      </c>
      <c r="E274" s="34" t="s">
        <v>1337</v>
      </c>
    </row>
    <row r="275">
      <c r="A275" s="33" t="s">
        <v>938</v>
      </c>
      <c r="B275" s="33" t="s">
        <v>1338</v>
      </c>
      <c r="C275" s="33" t="s">
        <v>1339</v>
      </c>
      <c r="D275" s="33" t="s">
        <v>12</v>
      </c>
      <c r="E275" s="34" t="s">
        <v>1340</v>
      </c>
    </row>
    <row r="276">
      <c r="A276" s="33" t="s">
        <v>938</v>
      </c>
      <c r="B276" s="33" t="s">
        <v>1338</v>
      </c>
      <c r="C276" s="33" t="s">
        <v>1341</v>
      </c>
      <c r="D276" s="33" t="s">
        <v>14</v>
      </c>
      <c r="E276" s="34" t="s">
        <v>1342</v>
      </c>
    </row>
    <row r="277">
      <c r="A277" s="33" t="s">
        <v>938</v>
      </c>
      <c r="B277" s="33" t="s">
        <v>1338</v>
      </c>
      <c r="C277" s="33" t="s">
        <v>1341</v>
      </c>
      <c r="D277" s="33" t="s">
        <v>19</v>
      </c>
      <c r="E277" s="34" t="s">
        <v>1343</v>
      </c>
    </row>
    <row r="278">
      <c r="A278" s="33" t="s">
        <v>938</v>
      </c>
      <c r="B278" s="33" t="s">
        <v>1338</v>
      </c>
      <c r="C278" s="33" t="s">
        <v>1341</v>
      </c>
      <c r="D278" s="33" t="s">
        <v>8</v>
      </c>
      <c r="E278" s="27" t="s">
        <v>1344</v>
      </c>
    </row>
    <row r="279">
      <c r="A279" s="33" t="s">
        <v>938</v>
      </c>
      <c r="B279" s="33" t="s">
        <v>1338</v>
      </c>
      <c r="C279" s="33" t="s">
        <v>1341</v>
      </c>
      <c r="D279" s="33" t="s">
        <v>12</v>
      </c>
      <c r="E279" s="34" t="s">
        <v>1345</v>
      </c>
    </row>
    <row r="280">
      <c r="A280" s="33" t="s">
        <v>938</v>
      </c>
      <c r="B280" s="33" t="s">
        <v>1338</v>
      </c>
      <c r="C280" s="33" t="s">
        <v>1341</v>
      </c>
      <c r="D280" s="33" t="s">
        <v>23</v>
      </c>
      <c r="E280" s="34" t="s">
        <v>1346</v>
      </c>
    </row>
    <row r="281">
      <c r="A281" s="33" t="s">
        <v>938</v>
      </c>
      <c r="B281" s="33" t="s">
        <v>1347</v>
      </c>
      <c r="C281" s="33" t="s">
        <v>1348</v>
      </c>
      <c r="D281" s="33" t="s">
        <v>14</v>
      </c>
      <c r="E281" s="34" t="s">
        <v>1349</v>
      </c>
    </row>
    <row r="282">
      <c r="A282" s="33" t="s">
        <v>938</v>
      </c>
      <c r="B282" s="33" t="s">
        <v>1347</v>
      </c>
      <c r="C282" s="33" t="s">
        <v>1348</v>
      </c>
      <c r="D282" s="33" t="s">
        <v>19</v>
      </c>
      <c r="E282" s="27" t="s">
        <v>1350</v>
      </c>
    </row>
    <row r="283">
      <c r="A283" s="33" t="s">
        <v>938</v>
      </c>
      <c r="B283" s="33" t="s">
        <v>1347</v>
      </c>
      <c r="C283" s="33" t="s">
        <v>1348</v>
      </c>
      <c r="D283" s="33" t="s">
        <v>12</v>
      </c>
      <c r="E283" s="34" t="s">
        <v>1351</v>
      </c>
    </row>
    <row r="284">
      <c r="A284" s="33" t="s">
        <v>938</v>
      </c>
      <c r="B284" s="33" t="s">
        <v>1347</v>
      </c>
      <c r="C284" s="33" t="s">
        <v>1348</v>
      </c>
      <c r="D284" s="33" t="s">
        <v>23</v>
      </c>
      <c r="E284" s="27" t="s">
        <v>1352</v>
      </c>
    </row>
    <row r="285">
      <c r="A285" s="33" t="s">
        <v>938</v>
      </c>
      <c r="B285" s="33" t="s">
        <v>1347</v>
      </c>
      <c r="C285" s="33" t="s">
        <v>1353</v>
      </c>
      <c r="D285" s="33" t="s">
        <v>60</v>
      </c>
      <c r="E285" s="34" t="s">
        <v>1354</v>
      </c>
    </row>
    <row r="286">
      <c r="A286" s="33" t="s">
        <v>938</v>
      </c>
      <c r="B286" s="33" t="s">
        <v>1355</v>
      </c>
      <c r="C286" s="33" t="s">
        <v>1356</v>
      </c>
      <c r="D286" s="33" t="s">
        <v>12</v>
      </c>
      <c r="E286" s="34" t="s">
        <v>1357</v>
      </c>
    </row>
    <row r="287">
      <c r="A287" s="33" t="s">
        <v>938</v>
      </c>
      <c r="B287" s="33" t="s">
        <v>1355</v>
      </c>
      <c r="C287" s="33" t="s">
        <v>1356</v>
      </c>
      <c r="D287" s="33" t="s">
        <v>19</v>
      </c>
      <c r="E287" s="27" t="s">
        <v>1358</v>
      </c>
    </row>
    <row r="288">
      <c r="A288" s="33" t="s">
        <v>938</v>
      </c>
      <c r="B288" s="33" t="s">
        <v>1355</v>
      </c>
      <c r="C288" s="33" t="s">
        <v>1359</v>
      </c>
      <c r="D288" s="33" t="s">
        <v>14</v>
      </c>
      <c r="E288" s="27" t="s">
        <v>1360</v>
      </c>
    </row>
    <row r="289">
      <c r="A289" s="33" t="s">
        <v>938</v>
      </c>
      <c r="B289" s="33" t="s">
        <v>1355</v>
      </c>
      <c r="C289" s="33" t="s">
        <v>1359</v>
      </c>
      <c r="D289" s="33" t="s">
        <v>19</v>
      </c>
      <c r="E289" s="34" t="s">
        <v>1361</v>
      </c>
    </row>
    <row r="290">
      <c r="A290" s="33" t="s">
        <v>938</v>
      </c>
      <c r="B290" s="33" t="s">
        <v>1355</v>
      </c>
      <c r="C290" s="33" t="s">
        <v>1359</v>
      </c>
      <c r="D290" s="33" t="s">
        <v>12</v>
      </c>
      <c r="E290" s="34" t="s">
        <v>1362</v>
      </c>
    </row>
    <row r="291">
      <c r="A291" s="33" t="s">
        <v>938</v>
      </c>
      <c r="B291" s="33" t="s">
        <v>1355</v>
      </c>
      <c r="C291" s="33" t="s">
        <v>1359</v>
      </c>
      <c r="D291" s="33" t="s">
        <v>23</v>
      </c>
      <c r="E291" s="27" t="s">
        <v>1363</v>
      </c>
    </row>
    <row r="292">
      <c r="A292" s="33" t="s">
        <v>938</v>
      </c>
      <c r="B292" s="33" t="s">
        <v>1364</v>
      </c>
      <c r="C292" s="33" t="s">
        <v>1365</v>
      </c>
      <c r="D292" s="33" t="s">
        <v>14</v>
      </c>
      <c r="E292" s="34" t="s">
        <v>1366</v>
      </c>
    </row>
    <row r="293">
      <c r="A293" s="33" t="s">
        <v>938</v>
      </c>
      <c r="B293" s="33" t="s">
        <v>1364</v>
      </c>
      <c r="C293" s="33" t="s">
        <v>1365</v>
      </c>
      <c r="D293" s="33" t="s">
        <v>19</v>
      </c>
      <c r="E293" s="27" t="s">
        <v>1367</v>
      </c>
    </row>
    <row r="294">
      <c r="A294" s="33" t="s">
        <v>938</v>
      </c>
      <c r="B294" s="33" t="s">
        <v>1364</v>
      </c>
      <c r="C294" s="33" t="s">
        <v>1365</v>
      </c>
      <c r="D294" s="33" t="s">
        <v>8</v>
      </c>
      <c r="E294" s="27" t="s">
        <v>1368</v>
      </c>
    </row>
    <row r="295">
      <c r="A295" s="33" t="s">
        <v>938</v>
      </c>
      <c r="B295" s="33" t="s">
        <v>1364</v>
      </c>
      <c r="C295" s="33" t="s">
        <v>1365</v>
      </c>
      <c r="D295" s="33" t="s">
        <v>12</v>
      </c>
      <c r="E295" s="34" t="s">
        <v>1369</v>
      </c>
    </row>
    <row r="296">
      <c r="A296" s="33" t="s">
        <v>938</v>
      </c>
      <c r="B296" s="33" t="s">
        <v>1364</v>
      </c>
      <c r="C296" s="33" t="s">
        <v>1365</v>
      </c>
      <c r="D296" s="33" t="s">
        <v>23</v>
      </c>
      <c r="E296" s="27" t="s">
        <v>1370</v>
      </c>
    </row>
    <row r="297">
      <c r="A297" s="33" t="s">
        <v>938</v>
      </c>
      <c r="B297" s="33" t="s">
        <v>1364</v>
      </c>
      <c r="C297" s="33" t="s">
        <v>1371</v>
      </c>
      <c r="D297" s="33" t="s">
        <v>14</v>
      </c>
      <c r="E297" s="34" t="s">
        <v>1372</v>
      </c>
    </row>
    <row r="298">
      <c r="A298" s="33" t="s">
        <v>938</v>
      </c>
      <c r="B298" s="33" t="s">
        <v>1364</v>
      </c>
      <c r="C298" s="33" t="s">
        <v>1371</v>
      </c>
      <c r="D298" s="33" t="s">
        <v>19</v>
      </c>
      <c r="E298" s="34" t="s">
        <v>1373</v>
      </c>
    </row>
    <row r="299">
      <c r="A299" s="33" t="s">
        <v>938</v>
      </c>
      <c r="B299" s="33" t="s">
        <v>1364</v>
      </c>
      <c r="C299" s="33" t="s">
        <v>1371</v>
      </c>
      <c r="D299" s="33" t="s">
        <v>8</v>
      </c>
      <c r="E299" s="27" t="s">
        <v>1374</v>
      </c>
    </row>
    <row r="300">
      <c r="A300" s="33" t="s">
        <v>938</v>
      </c>
      <c r="B300" s="33" t="s">
        <v>1364</v>
      </c>
      <c r="C300" s="33" t="s">
        <v>1371</v>
      </c>
      <c r="D300" s="33" t="s">
        <v>12</v>
      </c>
      <c r="E300" s="34" t="s">
        <v>1375</v>
      </c>
    </row>
    <row r="301">
      <c r="A301" s="33" t="s">
        <v>938</v>
      </c>
      <c r="B301" s="33" t="s">
        <v>1364</v>
      </c>
      <c r="C301" s="33" t="s">
        <v>1371</v>
      </c>
      <c r="D301" s="33" t="s">
        <v>23</v>
      </c>
      <c r="E301" s="27" t="s">
        <v>1376</v>
      </c>
    </row>
    <row r="302">
      <c r="A302" s="33" t="s">
        <v>938</v>
      </c>
      <c r="B302" s="33" t="s">
        <v>1377</v>
      </c>
      <c r="C302" s="33" t="s">
        <v>1378</v>
      </c>
      <c r="D302" s="33" t="s">
        <v>19</v>
      </c>
      <c r="E302" s="27" t="s">
        <v>1379</v>
      </c>
    </row>
    <row r="303">
      <c r="A303" s="33" t="s">
        <v>938</v>
      </c>
      <c r="B303" s="33" t="s">
        <v>1377</v>
      </c>
      <c r="C303" s="33" t="s">
        <v>1378</v>
      </c>
      <c r="D303" s="33" t="s">
        <v>12</v>
      </c>
      <c r="E303" s="34" t="s">
        <v>1380</v>
      </c>
    </row>
    <row r="304">
      <c r="A304" s="33" t="s">
        <v>938</v>
      </c>
      <c r="B304" s="33" t="s">
        <v>1377</v>
      </c>
      <c r="C304" s="33" t="s">
        <v>1381</v>
      </c>
      <c r="D304" s="33" t="s">
        <v>14</v>
      </c>
      <c r="E304" s="34" t="s">
        <v>1382</v>
      </c>
    </row>
    <row r="305">
      <c r="A305" s="33" t="s">
        <v>938</v>
      </c>
      <c r="B305" s="33" t="s">
        <v>1377</v>
      </c>
      <c r="C305" s="33" t="s">
        <v>1381</v>
      </c>
      <c r="D305" s="33" t="s">
        <v>19</v>
      </c>
      <c r="E305" s="34" t="s">
        <v>1383</v>
      </c>
    </row>
    <row r="306">
      <c r="A306" s="33" t="s">
        <v>938</v>
      </c>
      <c r="B306" s="33" t="s">
        <v>1377</v>
      </c>
      <c r="C306" s="33" t="s">
        <v>1381</v>
      </c>
      <c r="D306" s="33" t="s">
        <v>12</v>
      </c>
      <c r="E306" s="34" t="s">
        <v>1384</v>
      </c>
    </row>
    <row r="307">
      <c r="A307" s="33" t="s">
        <v>938</v>
      </c>
      <c r="B307" s="33" t="s">
        <v>1377</v>
      </c>
      <c r="C307" s="33" t="s">
        <v>1385</v>
      </c>
      <c r="D307" s="33" t="s">
        <v>23</v>
      </c>
      <c r="E307" s="27" t="s">
        <v>1386</v>
      </c>
    </row>
    <row r="308">
      <c r="A308" s="33" t="s">
        <v>938</v>
      </c>
      <c r="B308" s="33" t="s">
        <v>1377</v>
      </c>
      <c r="C308" s="33" t="s">
        <v>1385</v>
      </c>
      <c r="D308" s="33" t="s">
        <v>60</v>
      </c>
      <c r="E308" s="27" t="s">
        <v>1387</v>
      </c>
    </row>
    <row r="309">
      <c r="A309" s="33" t="s">
        <v>938</v>
      </c>
      <c r="B309" s="33" t="s">
        <v>1388</v>
      </c>
      <c r="C309" s="33" t="s">
        <v>1389</v>
      </c>
      <c r="D309" s="33" t="s">
        <v>19</v>
      </c>
      <c r="E309" s="27" t="s">
        <v>1390</v>
      </c>
    </row>
    <row r="310">
      <c r="A310" s="33" t="s">
        <v>938</v>
      </c>
      <c r="B310" s="33" t="s">
        <v>1388</v>
      </c>
      <c r="C310" s="33" t="s">
        <v>1391</v>
      </c>
      <c r="D310" s="33" t="s">
        <v>14</v>
      </c>
      <c r="E310" s="34" t="s">
        <v>1392</v>
      </c>
    </row>
    <row r="311">
      <c r="A311" s="33" t="s">
        <v>938</v>
      </c>
      <c r="B311" s="33" t="s">
        <v>1388</v>
      </c>
      <c r="C311" s="33" t="s">
        <v>1391</v>
      </c>
      <c r="D311" s="33" t="s">
        <v>19</v>
      </c>
      <c r="E311" s="34" t="s">
        <v>1393</v>
      </c>
    </row>
    <row r="312">
      <c r="A312" s="33" t="s">
        <v>938</v>
      </c>
      <c r="B312" s="33" t="s">
        <v>1388</v>
      </c>
      <c r="C312" s="33" t="s">
        <v>1391</v>
      </c>
      <c r="D312" s="33" t="s">
        <v>12</v>
      </c>
      <c r="E312" s="34" t="s">
        <v>1394</v>
      </c>
    </row>
    <row r="313">
      <c r="A313" s="33" t="s">
        <v>938</v>
      </c>
      <c r="B313" s="33" t="s">
        <v>1388</v>
      </c>
      <c r="C313" s="33" t="s">
        <v>1391</v>
      </c>
      <c r="D313" s="33" t="s">
        <v>23</v>
      </c>
      <c r="E313" s="27" t="s">
        <v>1395</v>
      </c>
    </row>
    <row r="314">
      <c r="A314" s="33" t="s">
        <v>938</v>
      </c>
      <c r="B314" s="33" t="s">
        <v>1388</v>
      </c>
      <c r="C314" s="33" t="s">
        <v>1396</v>
      </c>
      <c r="D314" s="33" t="s">
        <v>60</v>
      </c>
      <c r="E314" s="34" t="s">
        <v>1397</v>
      </c>
    </row>
    <row r="315">
      <c r="A315" s="33" t="s">
        <v>938</v>
      </c>
      <c r="B315" s="33" t="s">
        <v>1398</v>
      </c>
      <c r="C315" s="33" t="s">
        <v>1399</v>
      </c>
      <c r="D315" s="33" t="s">
        <v>14</v>
      </c>
      <c r="E315" s="34" t="s">
        <v>1400</v>
      </c>
    </row>
    <row r="316">
      <c r="A316" s="33" t="s">
        <v>938</v>
      </c>
      <c r="B316" s="33" t="s">
        <v>1398</v>
      </c>
      <c r="C316" s="33" t="s">
        <v>1399</v>
      </c>
      <c r="D316" s="33" t="s">
        <v>19</v>
      </c>
      <c r="E316" s="34" t="s">
        <v>1401</v>
      </c>
    </row>
    <row r="317">
      <c r="A317" s="33" t="s">
        <v>938</v>
      </c>
      <c r="B317" s="33" t="s">
        <v>1398</v>
      </c>
      <c r="C317" s="33" t="s">
        <v>1402</v>
      </c>
      <c r="D317" s="33" t="s">
        <v>14</v>
      </c>
      <c r="E317" s="34" t="s">
        <v>1403</v>
      </c>
    </row>
    <row r="318">
      <c r="A318" s="33" t="s">
        <v>938</v>
      </c>
      <c r="B318" s="33" t="s">
        <v>1398</v>
      </c>
      <c r="C318" s="33" t="s">
        <v>1402</v>
      </c>
      <c r="D318" s="33" t="s">
        <v>19</v>
      </c>
      <c r="E318" s="34" t="s">
        <v>1404</v>
      </c>
    </row>
    <row r="319">
      <c r="A319" s="33" t="s">
        <v>938</v>
      </c>
      <c r="B319" s="33" t="s">
        <v>1398</v>
      </c>
      <c r="C319" s="33" t="s">
        <v>1402</v>
      </c>
      <c r="D319" s="33" t="s">
        <v>12</v>
      </c>
      <c r="E319" s="34" t="s">
        <v>1405</v>
      </c>
    </row>
    <row r="320">
      <c r="A320" s="33" t="s">
        <v>938</v>
      </c>
      <c r="B320" s="33" t="s">
        <v>1398</v>
      </c>
      <c r="C320" s="33" t="s">
        <v>1402</v>
      </c>
      <c r="D320" s="33" t="s">
        <v>23</v>
      </c>
      <c r="E320" s="34" t="s">
        <v>1406</v>
      </c>
    </row>
    <row r="321">
      <c r="A321" s="33" t="s">
        <v>938</v>
      </c>
      <c r="B321" s="33" t="s">
        <v>1398</v>
      </c>
      <c r="C321" s="33" t="s">
        <v>1407</v>
      </c>
      <c r="D321" s="33" t="s">
        <v>14</v>
      </c>
      <c r="E321" s="34" t="s">
        <v>1408</v>
      </c>
    </row>
    <row r="322">
      <c r="A322" s="33" t="s">
        <v>938</v>
      </c>
      <c r="B322" s="33" t="s">
        <v>1398</v>
      </c>
      <c r="C322" s="33" t="s">
        <v>1407</v>
      </c>
      <c r="D322" s="33" t="s">
        <v>19</v>
      </c>
      <c r="E322" s="34" t="s">
        <v>1409</v>
      </c>
    </row>
    <row r="323">
      <c r="A323" s="33" t="s">
        <v>938</v>
      </c>
      <c r="B323" s="33" t="s">
        <v>1398</v>
      </c>
      <c r="C323" s="33" t="s">
        <v>1407</v>
      </c>
      <c r="D323" s="33" t="s">
        <v>12</v>
      </c>
      <c r="E323" s="34" t="s">
        <v>1410</v>
      </c>
    </row>
    <row r="324">
      <c r="A324" s="33" t="s">
        <v>938</v>
      </c>
      <c r="B324" s="33" t="s">
        <v>1398</v>
      </c>
      <c r="C324" s="33" t="s">
        <v>1407</v>
      </c>
      <c r="D324" s="33" t="s">
        <v>23</v>
      </c>
      <c r="E324" s="27" t="s">
        <v>1411</v>
      </c>
    </row>
    <row r="325">
      <c r="A325" s="33" t="s">
        <v>938</v>
      </c>
      <c r="B325" s="33" t="s">
        <v>1412</v>
      </c>
      <c r="C325" s="33" t="s">
        <v>1413</v>
      </c>
      <c r="D325" s="33" t="s">
        <v>19</v>
      </c>
      <c r="E325" s="27" t="s">
        <v>1414</v>
      </c>
    </row>
    <row r="326">
      <c r="A326" s="33" t="s">
        <v>938</v>
      </c>
      <c r="B326" s="33" t="s">
        <v>1412</v>
      </c>
      <c r="C326" s="33" t="s">
        <v>1413</v>
      </c>
      <c r="D326" s="33" t="s">
        <v>12</v>
      </c>
      <c r="E326" s="34" t="s">
        <v>1415</v>
      </c>
    </row>
    <row r="327">
      <c r="A327" s="33" t="s">
        <v>938</v>
      </c>
      <c r="B327" s="33" t="s">
        <v>1412</v>
      </c>
      <c r="C327" s="33" t="s">
        <v>1416</v>
      </c>
      <c r="D327" s="33" t="s">
        <v>14</v>
      </c>
      <c r="E327" s="34" t="s">
        <v>1417</v>
      </c>
    </row>
    <row r="328">
      <c r="A328" s="33" t="s">
        <v>938</v>
      </c>
      <c r="B328" s="33" t="s">
        <v>1412</v>
      </c>
      <c r="C328" s="33" t="s">
        <v>1416</v>
      </c>
      <c r="D328" s="33" t="s">
        <v>19</v>
      </c>
      <c r="E328" s="34" t="s">
        <v>1418</v>
      </c>
    </row>
    <row r="329">
      <c r="A329" s="33" t="s">
        <v>938</v>
      </c>
      <c r="B329" s="33" t="s">
        <v>1412</v>
      </c>
      <c r="C329" s="33" t="s">
        <v>1416</v>
      </c>
      <c r="D329" s="33" t="s">
        <v>12</v>
      </c>
      <c r="E329" s="34" t="s">
        <v>1419</v>
      </c>
    </row>
    <row r="330">
      <c r="A330" s="33" t="s">
        <v>938</v>
      </c>
      <c r="B330" s="33" t="s">
        <v>1412</v>
      </c>
      <c r="C330" s="33" t="s">
        <v>1416</v>
      </c>
      <c r="D330" s="33" t="s">
        <v>23</v>
      </c>
      <c r="E330" s="27" t="s">
        <v>1420</v>
      </c>
    </row>
    <row r="331">
      <c r="A331" s="33" t="s">
        <v>938</v>
      </c>
      <c r="B331" s="33" t="s">
        <v>179</v>
      </c>
      <c r="C331" s="33" t="s">
        <v>1421</v>
      </c>
      <c r="D331" s="33" t="s">
        <v>12</v>
      </c>
      <c r="E331" s="34" t="s">
        <v>1422</v>
      </c>
    </row>
    <row r="332">
      <c r="A332" s="33" t="s">
        <v>938</v>
      </c>
      <c r="B332" s="33" t="s">
        <v>179</v>
      </c>
      <c r="C332" s="33" t="s">
        <v>1421</v>
      </c>
      <c r="D332" s="33" t="s">
        <v>19</v>
      </c>
      <c r="E332" s="27" t="s">
        <v>1423</v>
      </c>
    </row>
    <row r="333">
      <c r="A333" s="33" t="s">
        <v>938</v>
      </c>
      <c r="B333" s="33" t="s">
        <v>179</v>
      </c>
      <c r="C333" s="33" t="s">
        <v>1424</v>
      </c>
      <c r="D333" s="33" t="s">
        <v>14</v>
      </c>
      <c r="E333" s="27" t="s">
        <v>1425</v>
      </c>
    </row>
    <row r="334">
      <c r="A334" s="33" t="s">
        <v>938</v>
      </c>
      <c r="B334" s="33" t="s">
        <v>179</v>
      </c>
      <c r="C334" s="33" t="s">
        <v>1424</v>
      </c>
      <c r="D334" s="33" t="s">
        <v>12</v>
      </c>
      <c r="E334" s="34" t="s">
        <v>1426</v>
      </c>
    </row>
    <row r="335">
      <c r="A335" s="33" t="s">
        <v>938</v>
      </c>
      <c r="B335" s="33" t="s">
        <v>179</v>
      </c>
      <c r="C335" s="33" t="s">
        <v>1427</v>
      </c>
      <c r="D335" s="33" t="s">
        <v>12</v>
      </c>
      <c r="E335" s="34" t="s">
        <v>1428</v>
      </c>
    </row>
    <row r="336">
      <c r="A336" s="33" t="s">
        <v>938</v>
      </c>
      <c r="B336" s="33" t="s">
        <v>179</v>
      </c>
      <c r="C336" s="33" t="s">
        <v>1429</v>
      </c>
      <c r="D336" s="33" t="s">
        <v>14</v>
      </c>
      <c r="E336" s="34" t="s">
        <v>1430</v>
      </c>
    </row>
    <row r="337">
      <c r="A337" s="33" t="s">
        <v>938</v>
      </c>
      <c r="B337" s="33" t="s">
        <v>179</v>
      </c>
      <c r="C337" s="33" t="s">
        <v>1429</v>
      </c>
      <c r="D337" s="33" t="s">
        <v>19</v>
      </c>
      <c r="E337" s="34" t="s">
        <v>1431</v>
      </c>
    </row>
    <row r="338">
      <c r="A338" s="33" t="s">
        <v>938</v>
      </c>
      <c r="B338" s="33" t="s">
        <v>179</v>
      </c>
      <c r="C338" s="33" t="s">
        <v>1429</v>
      </c>
      <c r="D338" s="33" t="s">
        <v>8</v>
      </c>
      <c r="E338" s="27" t="s">
        <v>1432</v>
      </c>
    </row>
    <row r="339">
      <c r="A339" s="33" t="s">
        <v>938</v>
      </c>
      <c r="B339" s="33" t="s">
        <v>179</v>
      </c>
      <c r="C339" s="33" t="s">
        <v>1429</v>
      </c>
      <c r="D339" s="33" t="s">
        <v>12</v>
      </c>
      <c r="E339" s="34" t="s">
        <v>1433</v>
      </c>
    </row>
    <row r="340">
      <c r="A340" s="33" t="s">
        <v>938</v>
      </c>
      <c r="B340" s="33" t="s">
        <v>179</v>
      </c>
      <c r="C340" s="33" t="s">
        <v>1429</v>
      </c>
      <c r="D340" s="33" t="s">
        <v>12</v>
      </c>
      <c r="E340" s="27" t="s">
        <v>1434</v>
      </c>
    </row>
    <row r="341">
      <c r="A341" s="33" t="s">
        <v>938</v>
      </c>
      <c r="B341" s="33" t="s">
        <v>179</v>
      </c>
      <c r="C341" s="33" t="s">
        <v>1429</v>
      </c>
      <c r="D341" s="33" t="s">
        <v>23</v>
      </c>
      <c r="E341" s="34" t="s">
        <v>1435</v>
      </c>
    </row>
    <row r="342">
      <c r="A342" s="33" t="s">
        <v>938</v>
      </c>
      <c r="B342" s="33" t="s">
        <v>179</v>
      </c>
      <c r="C342" s="33" t="s">
        <v>1436</v>
      </c>
      <c r="D342" s="33" t="s">
        <v>12</v>
      </c>
      <c r="E342" s="34" t="s">
        <v>1437</v>
      </c>
    </row>
    <row r="343">
      <c r="A343" s="33" t="s">
        <v>938</v>
      </c>
      <c r="B343" s="33" t="s">
        <v>6</v>
      </c>
      <c r="C343" s="33" t="s">
        <v>1438</v>
      </c>
      <c r="D343" s="33" t="s">
        <v>12</v>
      </c>
      <c r="E343" s="34" t="s">
        <v>1439</v>
      </c>
    </row>
    <row r="344">
      <c r="A344" s="33" t="s">
        <v>938</v>
      </c>
      <c r="B344" s="33" t="s">
        <v>6</v>
      </c>
      <c r="C344" s="33" t="s">
        <v>1440</v>
      </c>
      <c r="D344" s="33" t="s">
        <v>12</v>
      </c>
      <c r="E344" s="34" t="s">
        <v>1441</v>
      </c>
    </row>
    <row r="345">
      <c r="A345" s="33" t="s">
        <v>938</v>
      </c>
      <c r="B345" s="33" t="s">
        <v>6</v>
      </c>
      <c r="C345" s="33" t="s">
        <v>1442</v>
      </c>
      <c r="D345" s="33" t="s">
        <v>12</v>
      </c>
      <c r="E345" s="34" t="s">
        <v>1443</v>
      </c>
    </row>
    <row r="346">
      <c r="A346" s="33" t="s">
        <v>938</v>
      </c>
      <c r="B346" s="33" t="s">
        <v>1444</v>
      </c>
      <c r="C346" s="33" t="s">
        <v>1445</v>
      </c>
      <c r="D346" s="33" t="s">
        <v>14</v>
      </c>
      <c r="E346" s="34" t="s">
        <v>1446</v>
      </c>
    </row>
    <row r="347">
      <c r="A347" s="33" t="s">
        <v>938</v>
      </c>
      <c r="B347" s="33" t="s">
        <v>1444</v>
      </c>
      <c r="C347" s="33" t="s">
        <v>1445</v>
      </c>
      <c r="D347" s="33" t="s">
        <v>19</v>
      </c>
      <c r="E347" s="27" t="s">
        <v>1447</v>
      </c>
    </row>
    <row r="348">
      <c r="A348" s="33" t="s">
        <v>938</v>
      </c>
      <c r="B348" s="33" t="s">
        <v>1444</v>
      </c>
      <c r="C348" s="33" t="s">
        <v>1445</v>
      </c>
      <c r="D348" s="33" t="s">
        <v>12</v>
      </c>
      <c r="E348" s="34" t="s">
        <v>1448</v>
      </c>
    </row>
    <row r="349">
      <c r="A349" s="33" t="s">
        <v>938</v>
      </c>
      <c r="B349" s="33" t="s">
        <v>1444</v>
      </c>
      <c r="C349" s="33" t="s">
        <v>1445</v>
      </c>
      <c r="D349" s="33" t="s">
        <v>23</v>
      </c>
      <c r="E349" s="34" t="s">
        <v>1449</v>
      </c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  <hyperlink r:id="rId134" ref="E135"/>
    <hyperlink r:id="rId135" ref="E136"/>
    <hyperlink r:id="rId136" ref="E137"/>
    <hyperlink r:id="rId137" ref="E138"/>
    <hyperlink r:id="rId138" ref="E139"/>
    <hyperlink r:id="rId139" ref="E140"/>
    <hyperlink r:id="rId140" ref="E141"/>
    <hyperlink r:id="rId141" ref="E142"/>
    <hyperlink r:id="rId142" ref="E143"/>
    <hyperlink r:id="rId143" ref="E144"/>
    <hyperlink r:id="rId144" ref="E145"/>
    <hyperlink r:id="rId145" ref="E146"/>
    <hyperlink r:id="rId146" ref="E147"/>
    <hyperlink r:id="rId147" ref="E148"/>
    <hyperlink r:id="rId148" ref="E149"/>
    <hyperlink r:id="rId149" ref="E150"/>
    <hyperlink r:id="rId150" ref="E151"/>
    <hyperlink r:id="rId151" ref="E152"/>
    <hyperlink r:id="rId152" ref="E153"/>
    <hyperlink r:id="rId153" ref="E154"/>
    <hyperlink r:id="rId154" ref="E155"/>
    <hyperlink r:id="rId155" ref="E156"/>
    <hyperlink r:id="rId156" ref="E157"/>
    <hyperlink r:id="rId157" ref="E158"/>
    <hyperlink r:id="rId158" ref="E159"/>
    <hyperlink r:id="rId159" ref="E160"/>
    <hyperlink r:id="rId160" ref="E161"/>
    <hyperlink r:id="rId161" ref="E162"/>
    <hyperlink r:id="rId162" ref="E163"/>
    <hyperlink r:id="rId163" ref="E164"/>
    <hyperlink r:id="rId164" ref="E165"/>
    <hyperlink r:id="rId165" ref="E166"/>
    <hyperlink r:id="rId166" ref="E167"/>
    <hyperlink r:id="rId167" ref="E168"/>
    <hyperlink r:id="rId168" ref="E169"/>
    <hyperlink r:id="rId169" ref="E170"/>
    <hyperlink r:id="rId170" ref="E171"/>
    <hyperlink r:id="rId171" ref="E172"/>
    <hyperlink r:id="rId172" ref="E173"/>
    <hyperlink r:id="rId173" ref="E174"/>
    <hyperlink r:id="rId174" ref="E175"/>
    <hyperlink r:id="rId175" ref="E176"/>
    <hyperlink r:id="rId176" ref="E177"/>
    <hyperlink r:id="rId177" ref="E178"/>
    <hyperlink r:id="rId178" ref="E179"/>
    <hyperlink r:id="rId179" ref="E180"/>
    <hyperlink r:id="rId180" ref="E181"/>
    <hyperlink r:id="rId181" ref="E182"/>
    <hyperlink r:id="rId182" ref="E183"/>
    <hyperlink r:id="rId183" ref="E184"/>
    <hyperlink r:id="rId184" ref="E185"/>
    <hyperlink r:id="rId185" ref="E186"/>
    <hyperlink r:id="rId186" ref="E187"/>
    <hyperlink r:id="rId187" ref="E188"/>
    <hyperlink r:id="rId188" ref="E189"/>
    <hyperlink r:id="rId189" ref="E190"/>
    <hyperlink r:id="rId190" ref="E191"/>
    <hyperlink r:id="rId191" ref="E192"/>
    <hyperlink r:id="rId192" ref="E193"/>
    <hyperlink r:id="rId193" ref="E194"/>
    <hyperlink r:id="rId194" ref="E195"/>
    <hyperlink r:id="rId195" ref="E196"/>
    <hyperlink r:id="rId196" ref="E197"/>
    <hyperlink r:id="rId197" ref="E198"/>
    <hyperlink r:id="rId198" ref="E199"/>
    <hyperlink r:id="rId199" ref="E200"/>
    <hyperlink r:id="rId200" ref="E201"/>
    <hyperlink r:id="rId201" ref="E202"/>
    <hyperlink r:id="rId202" ref="E203"/>
    <hyperlink r:id="rId203" ref="E204"/>
    <hyperlink r:id="rId204" ref="E205"/>
    <hyperlink r:id="rId205" ref="E206"/>
    <hyperlink r:id="rId206" ref="E207"/>
    <hyperlink r:id="rId207" ref="E208"/>
    <hyperlink r:id="rId208" ref="E209"/>
    <hyperlink r:id="rId209" ref="E210"/>
    <hyperlink r:id="rId210" ref="E211"/>
    <hyperlink r:id="rId211" ref="E212"/>
    <hyperlink r:id="rId212" ref="E213"/>
    <hyperlink r:id="rId213" ref="E214"/>
    <hyperlink r:id="rId214" ref="E215"/>
    <hyperlink r:id="rId215" ref="E216"/>
    <hyperlink r:id="rId216" ref="E217"/>
    <hyperlink r:id="rId217" ref="E218"/>
    <hyperlink r:id="rId218" ref="E219"/>
    <hyperlink r:id="rId219" ref="E220"/>
    <hyperlink r:id="rId220" ref="E221"/>
    <hyperlink r:id="rId221" ref="E222"/>
    <hyperlink r:id="rId222" ref="E223"/>
    <hyperlink r:id="rId223" ref="E224"/>
    <hyperlink r:id="rId224" ref="E225"/>
    <hyperlink r:id="rId225" ref="E226"/>
    <hyperlink r:id="rId226" ref="E227"/>
    <hyperlink r:id="rId227" ref="E228"/>
    <hyperlink r:id="rId228" ref="E229"/>
    <hyperlink r:id="rId229" ref="E230"/>
    <hyperlink r:id="rId230" ref="E231"/>
    <hyperlink r:id="rId231" ref="E232"/>
    <hyperlink r:id="rId232" ref="E233"/>
    <hyperlink r:id="rId233" ref="E234"/>
    <hyperlink r:id="rId234" ref="E235"/>
    <hyperlink r:id="rId235" ref="E236"/>
    <hyperlink r:id="rId236" ref="E237"/>
    <hyperlink r:id="rId237" ref="E238"/>
    <hyperlink r:id="rId238" ref="E239"/>
    <hyperlink r:id="rId239" ref="E240"/>
    <hyperlink r:id="rId240" ref="E241"/>
    <hyperlink r:id="rId241" ref="E242"/>
    <hyperlink r:id="rId242" ref="E243"/>
    <hyperlink r:id="rId243" ref="E244"/>
    <hyperlink r:id="rId244" ref="E245"/>
    <hyperlink r:id="rId245" ref="E246"/>
    <hyperlink r:id="rId246" ref="E247"/>
    <hyperlink r:id="rId247" ref="E248"/>
    <hyperlink r:id="rId248" ref="E249"/>
    <hyperlink r:id="rId249" ref="E250"/>
    <hyperlink r:id="rId250" ref="E251"/>
    <hyperlink r:id="rId251" ref="E252"/>
    <hyperlink r:id="rId252" ref="E253"/>
    <hyperlink r:id="rId253" ref="E254"/>
    <hyperlink r:id="rId254" ref="E255"/>
    <hyperlink r:id="rId255" ref="E256"/>
    <hyperlink r:id="rId256" ref="E257"/>
    <hyperlink r:id="rId257" ref="E258"/>
    <hyperlink r:id="rId258" ref="E259"/>
    <hyperlink r:id="rId259" ref="E260"/>
    <hyperlink r:id="rId260" ref="E261"/>
    <hyperlink r:id="rId261" ref="E262"/>
    <hyperlink r:id="rId262" ref="E263"/>
    <hyperlink r:id="rId263" ref="E264"/>
    <hyperlink r:id="rId264" ref="E265"/>
    <hyperlink r:id="rId265" ref="E266"/>
    <hyperlink r:id="rId266" ref="E267"/>
    <hyperlink r:id="rId267" ref="E268"/>
    <hyperlink r:id="rId268" ref="E269"/>
    <hyperlink r:id="rId269" ref="E270"/>
    <hyperlink r:id="rId270" ref="E271"/>
    <hyperlink r:id="rId271" ref="E272"/>
    <hyperlink r:id="rId272" ref="E273"/>
    <hyperlink r:id="rId273" ref="E274"/>
    <hyperlink r:id="rId274" ref="E275"/>
    <hyperlink r:id="rId275" ref="E276"/>
    <hyperlink r:id="rId276" ref="E277"/>
    <hyperlink r:id="rId277" ref="E278"/>
    <hyperlink r:id="rId278" ref="E279"/>
    <hyperlink r:id="rId279" ref="E280"/>
    <hyperlink r:id="rId280" ref="E281"/>
    <hyperlink r:id="rId281" ref="E282"/>
    <hyperlink r:id="rId282" ref="E283"/>
    <hyperlink r:id="rId283" ref="E284"/>
    <hyperlink r:id="rId284" ref="E285"/>
    <hyperlink r:id="rId285" ref="E286"/>
    <hyperlink r:id="rId286" ref="E287"/>
    <hyperlink r:id="rId287" ref="E288"/>
    <hyperlink r:id="rId288" ref="E289"/>
    <hyperlink r:id="rId289" ref="E290"/>
    <hyperlink r:id="rId290" ref="E291"/>
    <hyperlink r:id="rId291" ref="E292"/>
    <hyperlink r:id="rId292" ref="E293"/>
    <hyperlink r:id="rId293" ref="E294"/>
    <hyperlink r:id="rId294" ref="E295"/>
    <hyperlink r:id="rId295" ref="E296"/>
    <hyperlink r:id="rId296" ref="E297"/>
    <hyperlink r:id="rId297" ref="E298"/>
    <hyperlink r:id="rId298" ref="E299"/>
    <hyperlink r:id="rId299" ref="E300"/>
    <hyperlink r:id="rId300" ref="E301"/>
    <hyperlink r:id="rId301" ref="E302"/>
    <hyperlink r:id="rId302" ref="E303"/>
    <hyperlink r:id="rId303" ref="E304"/>
    <hyperlink r:id="rId304" ref="E305"/>
    <hyperlink r:id="rId305" ref="E306"/>
    <hyperlink r:id="rId306" ref="E307"/>
    <hyperlink r:id="rId307" ref="E308"/>
    <hyperlink r:id="rId308" ref="E309"/>
    <hyperlink r:id="rId309" ref="E310"/>
    <hyperlink r:id="rId310" ref="E311"/>
    <hyperlink r:id="rId311" ref="E312"/>
    <hyperlink r:id="rId312" ref="E313"/>
    <hyperlink r:id="rId313" ref="E314"/>
    <hyperlink r:id="rId314" ref="E315"/>
    <hyperlink r:id="rId315" ref="E316"/>
    <hyperlink r:id="rId316" ref="E317"/>
    <hyperlink r:id="rId317" ref="E318"/>
    <hyperlink r:id="rId318" ref="E319"/>
    <hyperlink r:id="rId319" ref="E320"/>
    <hyperlink r:id="rId320" ref="E321"/>
    <hyperlink r:id="rId321" ref="E322"/>
    <hyperlink r:id="rId322" ref="E323"/>
    <hyperlink r:id="rId323" ref="E324"/>
    <hyperlink r:id="rId324" ref="E325"/>
    <hyperlink r:id="rId325" ref="E326"/>
    <hyperlink r:id="rId326" ref="E327"/>
    <hyperlink r:id="rId327" ref="E328"/>
    <hyperlink r:id="rId328" ref="E329"/>
    <hyperlink r:id="rId329" ref="E330"/>
    <hyperlink r:id="rId330" ref="E331"/>
    <hyperlink r:id="rId331" ref="E332"/>
    <hyperlink r:id="rId332" ref="E333"/>
    <hyperlink r:id="rId333" ref="E334"/>
    <hyperlink r:id="rId334" ref="E335"/>
    <hyperlink r:id="rId335" ref="E336"/>
    <hyperlink r:id="rId336" ref="E337"/>
    <hyperlink r:id="rId337" ref="E338"/>
    <hyperlink r:id="rId338" ref="E339"/>
    <hyperlink r:id="rId339" ref="E340"/>
    <hyperlink r:id="rId340" ref="E341"/>
    <hyperlink r:id="rId341" ref="E342"/>
    <hyperlink r:id="rId342" ref="E343"/>
    <hyperlink r:id="rId343" ref="E344"/>
    <hyperlink r:id="rId344" ref="E345"/>
    <hyperlink r:id="rId345" ref="E346"/>
    <hyperlink r:id="rId346" ref="E347"/>
    <hyperlink r:id="rId347" ref="E348"/>
    <hyperlink r:id="rId348" ref="E349"/>
  </hyperlinks>
  <drawing r:id="rId349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28.88"/>
    <col customWidth="1" min="3" max="3" width="46.5"/>
    <col customWidth="1" min="5" max="5" width="47.0"/>
  </cols>
  <sheetData>
    <row r="1">
      <c r="A1" s="1" t="s">
        <v>0</v>
      </c>
      <c r="B1" s="1" t="s">
        <v>1</v>
      </c>
      <c r="C1" s="23" t="s">
        <v>2</v>
      </c>
      <c r="D1" s="1" t="s">
        <v>3</v>
      </c>
      <c r="E1" s="23" t="s">
        <v>4</v>
      </c>
    </row>
    <row r="2">
      <c r="A2" s="4" t="s">
        <v>1450</v>
      </c>
      <c r="B2" s="4" t="s">
        <v>954</v>
      </c>
      <c r="C2" s="24" t="s">
        <v>1451</v>
      </c>
      <c r="D2" s="4" t="s">
        <v>14</v>
      </c>
      <c r="E2" s="35" t="s">
        <v>1452</v>
      </c>
    </row>
    <row r="3">
      <c r="A3" s="4" t="s">
        <v>1450</v>
      </c>
      <c r="B3" s="4" t="s">
        <v>954</v>
      </c>
      <c r="C3" s="24" t="s">
        <v>1451</v>
      </c>
      <c r="D3" s="4" t="s">
        <v>19</v>
      </c>
      <c r="E3" s="35" t="s">
        <v>1453</v>
      </c>
    </row>
    <row r="4">
      <c r="A4" s="4" t="s">
        <v>1450</v>
      </c>
      <c r="B4" s="4" t="s">
        <v>954</v>
      </c>
      <c r="C4" s="24" t="s">
        <v>1451</v>
      </c>
      <c r="D4" s="4" t="s">
        <v>8</v>
      </c>
      <c r="E4" s="35" t="s">
        <v>1454</v>
      </c>
    </row>
    <row r="5">
      <c r="A5" s="4" t="s">
        <v>1450</v>
      </c>
      <c r="B5" s="4" t="s">
        <v>954</v>
      </c>
      <c r="C5" s="24" t="s">
        <v>1451</v>
      </c>
      <c r="D5" s="4" t="s">
        <v>12</v>
      </c>
      <c r="E5" s="36" t="s">
        <v>1455</v>
      </c>
    </row>
    <row r="6">
      <c r="A6" s="4" t="s">
        <v>1450</v>
      </c>
      <c r="B6" s="4" t="s">
        <v>954</v>
      </c>
      <c r="C6" s="24" t="s">
        <v>1451</v>
      </c>
      <c r="D6" s="4" t="s">
        <v>23</v>
      </c>
      <c r="E6" s="36" t="s">
        <v>1456</v>
      </c>
    </row>
    <row r="7">
      <c r="A7" s="4" t="s">
        <v>1450</v>
      </c>
      <c r="B7" s="4" t="s">
        <v>954</v>
      </c>
      <c r="C7" s="24" t="s">
        <v>963</v>
      </c>
      <c r="D7" s="4" t="s">
        <v>14</v>
      </c>
      <c r="E7" s="35" t="s">
        <v>964</v>
      </c>
    </row>
    <row r="8">
      <c r="A8" s="4" t="s">
        <v>1450</v>
      </c>
      <c r="B8" s="4" t="s">
        <v>954</v>
      </c>
      <c r="C8" s="24" t="s">
        <v>963</v>
      </c>
      <c r="D8" s="4" t="s">
        <v>12</v>
      </c>
      <c r="E8" s="35" t="s">
        <v>967</v>
      </c>
    </row>
    <row r="9">
      <c r="A9" s="4" t="s">
        <v>1450</v>
      </c>
      <c r="B9" s="4" t="s">
        <v>954</v>
      </c>
      <c r="C9" s="24" t="s">
        <v>965</v>
      </c>
      <c r="D9" s="4" t="s">
        <v>12</v>
      </c>
      <c r="E9" s="35" t="s">
        <v>966</v>
      </c>
      <c r="F9" s="8"/>
    </row>
    <row r="10">
      <c r="A10" s="4" t="s">
        <v>1450</v>
      </c>
      <c r="B10" s="4" t="s">
        <v>954</v>
      </c>
      <c r="C10" s="24" t="s">
        <v>965</v>
      </c>
      <c r="D10" s="4" t="s">
        <v>968</v>
      </c>
      <c r="E10" s="35" t="s">
        <v>969</v>
      </c>
    </row>
    <row r="11">
      <c r="A11" s="4" t="s">
        <v>1450</v>
      </c>
      <c r="B11" s="4" t="s">
        <v>444</v>
      </c>
      <c r="C11" s="24" t="s">
        <v>451</v>
      </c>
      <c r="D11" s="4" t="s">
        <v>14</v>
      </c>
      <c r="E11" s="35" t="s">
        <v>1457</v>
      </c>
    </row>
    <row r="12">
      <c r="A12" s="4" t="s">
        <v>1450</v>
      </c>
      <c r="B12" s="4" t="s">
        <v>444</v>
      </c>
      <c r="C12" s="24" t="s">
        <v>451</v>
      </c>
      <c r="D12" s="4" t="s">
        <v>12</v>
      </c>
      <c r="E12" s="35" t="s">
        <v>453</v>
      </c>
    </row>
    <row r="13">
      <c r="A13" s="4" t="s">
        <v>1450</v>
      </c>
      <c r="B13" s="4" t="s">
        <v>455</v>
      </c>
      <c r="C13" s="24" t="s">
        <v>1458</v>
      </c>
      <c r="D13" s="4" t="s">
        <v>12</v>
      </c>
      <c r="E13" s="35" t="s">
        <v>1459</v>
      </c>
      <c r="F13" s="8"/>
    </row>
    <row r="14">
      <c r="A14" s="4" t="s">
        <v>1450</v>
      </c>
      <c r="B14" s="4" t="s">
        <v>1188</v>
      </c>
      <c r="C14" s="24" t="s">
        <v>1460</v>
      </c>
      <c r="D14" s="4" t="s">
        <v>12</v>
      </c>
      <c r="E14" s="35" t="s">
        <v>1461</v>
      </c>
    </row>
    <row r="15">
      <c r="A15" s="4" t="s">
        <v>1450</v>
      </c>
      <c r="B15" s="4" t="s">
        <v>1188</v>
      </c>
      <c r="C15" s="24" t="s">
        <v>1462</v>
      </c>
      <c r="D15" s="4" t="s">
        <v>14</v>
      </c>
      <c r="E15" s="36" t="s">
        <v>1463</v>
      </c>
    </row>
    <row r="16">
      <c r="A16" s="4" t="s">
        <v>1450</v>
      </c>
      <c r="B16" s="4" t="s">
        <v>1188</v>
      </c>
      <c r="C16" s="24" t="s">
        <v>1462</v>
      </c>
      <c r="D16" s="4" t="s">
        <v>19</v>
      </c>
      <c r="E16" s="35" t="s">
        <v>1464</v>
      </c>
    </row>
    <row r="17">
      <c r="A17" s="4" t="s">
        <v>1450</v>
      </c>
      <c r="B17" s="4" t="s">
        <v>1188</v>
      </c>
      <c r="C17" s="24" t="s">
        <v>1462</v>
      </c>
      <c r="D17" s="4" t="s">
        <v>8</v>
      </c>
      <c r="E17" s="36" t="s">
        <v>1465</v>
      </c>
    </row>
    <row r="18">
      <c r="A18" s="4" t="s">
        <v>1450</v>
      </c>
      <c r="B18" s="4" t="s">
        <v>1188</v>
      </c>
      <c r="C18" s="24" t="s">
        <v>1462</v>
      </c>
      <c r="D18" s="4" t="s">
        <v>12</v>
      </c>
      <c r="E18" s="35" t="s">
        <v>1466</v>
      </c>
    </row>
    <row r="19">
      <c r="A19" s="4" t="s">
        <v>1450</v>
      </c>
      <c r="B19" s="4" t="s">
        <v>1188</v>
      </c>
      <c r="C19" s="24" t="s">
        <v>1462</v>
      </c>
      <c r="D19" s="4" t="s">
        <v>23</v>
      </c>
      <c r="E19" s="36" t="s">
        <v>1467</v>
      </c>
    </row>
    <row r="20">
      <c r="A20" s="4" t="s">
        <v>1450</v>
      </c>
      <c r="B20" s="4" t="s">
        <v>1388</v>
      </c>
      <c r="C20" s="24" t="s">
        <v>1468</v>
      </c>
      <c r="D20" s="4" t="s">
        <v>14</v>
      </c>
      <c r="E20" s="35" t="s">
        <v>1469</v>
      </c>
    </row>
    <row r="21">
      <c r="A21" s="4" t="s">
        <v>1450</v>
      </c>
      <c r="B21" s="4" t="s">
        <v>1388</v>
      </c>
      <c r="C21" s="24" t="s">
        <v>1468</v>
      </c>
      <c r="D21" s="4" t="s">
        <v>60</v>
      </c>
      <c r="E21" s="35" t="s">
        <v>1470</v>
      </c>
    </row>
    <row r="22">
      <c r="A22" s="4" t="s">
        <v>1450</v>
      </c>
      <c r="B22" s="4" t="s">
        <v>1388</v>
      </c>
      <c r="C22" s="24" t="s">
        <v>1468</v>
      </c>
      <c r="D22" s="4" t="s">
        <v>12</v>
      </c>
      <c r="E22" s="35" t="s">
        <v>1471</v>
      </c>
    </row>
    <row r="23">
      <c r="A23" s="4" t="s">
        <v>1450</v>
      </c>
      <c r="B23" s="4" t="s">
        <v>1388</v>
      </c>
      <c r="C23" s="24" t="s">
        <v>1468</v>
      </c>
      <c r="D23" s="4" t="s">
        <v>19</v>
      </c>
      <c r="E23" s="36" t="s">
        <v>1472</v>
      </c>
    </row>
    <row r="24">
      <c r="A24" s="4" t="s">
        <v>1450</v>
      </c>
      <c r="B24" s="4" t="s">
        <v>1388</v>
      </c>
      <c r="C24" s="24" t="s">
        <v>1468</v>
      </c>
      <c r="D24" s="4" t="s">
        <v>8</v>
      </c>
      <c r="E24" s="36" t="s">
        <v>1473</v>
      </c>
    </row>
    <row r="25">
      <c r="A25" s="4" t="s">
        <v>1450</v>
      </c>
      <c r="B25" s="4" t="s">
        <v>1388</v>
      </c>
      <c r="C25" s="24" t="s">
        <v>1468</v>
      </c>
      <c r="D25" s="4" t="s">
        <v>23</v>
      </c>
      <c r="E25" s="36" t="s">
        <v>1474</v>
      </c>
    </row>
    <row r="26">
      <c r="A26" s="4" t="s">
        <v>1450</v>
      </c>
      <c r="B26" s="4" t="s">
        <v>1388</v>
      </c>
      <c r="C26" s="24" t="s">
        <v>1475</v>
      </c>
      <c r="D26" s="4" t="s">
        <v>12</v>
      </c>
      <c r="E26" s="35" t="s">
        <v>1476</v>
      </c>
    </row>
    <row r="27">
      <c r="A27" s="4" t="s">
        <v>1450</v>
      </c>
      <c r="B27" s="4" t="s">
        <v>1388</v>
      </c>
      <c r="C27" s="24" t="s">
        <v>1477</v>
      </c>
      <c r="D27" s="4" t="s">
        <v>12</v>
      </c>
      <c r="E27" s="35" t="s">
        <v>1478</v>
      </c>
    </row>
    <row r="28">
      <c r="A28" s="4" t="s">
        <v>1450</v>
      </c>
      <c r="B28" s="4" t="s">
        <v>1388</v>
      </c>
      <c r="C28" s="24" t="s">
        <v>1468</v>
      </c>
      <c r="D28" s="4" t="s">
        <v>12</v>
      </c>
      <c r="E28" s="36" t="s">
        <v>1479</v>
      </c>
    </row>
    <row r="29">
      <c r="A29" s="4" t="s">
        <v>1450</v>
      </c>
      <c r="B29" s="4" t="s">
        <v>6</v>
      </c>
      <c r="C29" s="24" t="s">
        <v>1480</v>
      </c>
      <c r="D29" s="4" t="s">
        <v>12</v>
      </c>
      <c r="E29" s="35" t="s">
        <v>1481</v>
      </c>
    </row>
    <row r="30">
      <c r="A30" s="4" t="s">
        <v>1450</v>
      </c>
      <c r="B30" s="4" t="s">
        <v>6</v>
      </c>
      <c r="C30" s="24" t="s">
        <v>1480</v>
      </c>
      <c r="D30" s="4" t="s">
        <v>23</v>
      </c>
      <c r="E30" s="36" t="s">
        <v>1482</v>
      </c>
    </row>
    <row r="31">
      <c r="A31" s="4" t="s">
        <v>1450</v>
      </c>
      <c r="B31" s="37" t="s">
        <v>6</v>
      </c>
      <c r="C31" s="37" t="s">
        <v>1480</v>
      </c>
      <c r="D31" s="37" t="s">
        <v>1483</v>
      </c>
      <c r="E31" s="38" t="s">
        <v>1484</v>
      </c>
      <c r="F31" s="39"/>
      <c r="G31" s="40"/>
    </row>
    <row r="32">
      <c r="A32" s="4" t="s">
        <v>1450</v>
      </c>
      <c r="B32" s="4" t="s">
        <v>6</v>
      </c>
      <c r="C32" s="24" t="s">
        <v>1485</v>
      </c>
      <c r="D32" s="4" t="s">
        <v>12</v>
      </c>
      <c r="E32" s="35" t="s">
        <v>1476</v>
      </c>
    </row>
    <row r="33">
      <c r="A33" s="4" t="s">
        <v>1450</v>
      </c>
      <c r="B33" s="4" t="s">
        <v>6</v>
      </c>
      <c r="C33" s="24" t="s">
        <v>1486</v>
      </c>
      <c r="D33" s="4" t="s">
        <v>12</v>
      </c>
      <c r="E33" s="35" t="s">
        <v>1487</v>
      </c>
    </row>
    <row r="34">
      <c r="A34" s="4" t="s">
        <v>1450</v>
      </c>
      <c r="B34" s="4" t="s">
        <v>6</v>
      </c>
      <c r="C34" s="24" t="s">
        <v>1488</v>
      </c>
      <c r="D34" s="4" t="s">
        <v>12</v>
      </c>
      <c r="E34" s="35" t="s">
        <v>1489</v>
      </c>
    </row>
    <row r="35">
      <c r="A35" s="4" t="s">
        <v>1450</v>
      </c>
      <c r="B35" s="4" t="s">
        <v>6</v>
      </c>
      <c r="C35" s="24" t="s">
        <v>1490</v>
      </c>
      <c r="D35" s="4" t="s">
        <v>14</v>
      </c>
      <c r="E35" s="35" t="s">
        <v>1491</v>
      </c>
    </row>
    <row r="36">
      <c r="A36" s="4" t="s">
        <v>1450</v>
      </c>
      <c r="B36" s="4" t="s">
        <v>6</v>
      </c>
      <c r="C36" s="24" t="s">
        <v>1490</v>
      </c>
      <c r="D36" s="4" t="s">
        <v>12</v>
      </c>
      <c r="E36" s="36" t="s">
        <v>1492</v>
      </c>
    </row>
    <row r="37">
      <c r="A37" s="4" t="s">
        <v>1450</v>
      </c>
      <c r="B37" s="4" t="s">
        <v>6</v>
      </c>
      <c r="C37" s="24" t="s">
        <v>1490</v>
      </c>
      <c r="D37" s="4" t="s">
        <v>19</v>
      </c>
      <c r="E37" s="35" t="s">
        <v>1493</v>
      </c>
    </row>
    <row r="38">
      <c r="A38" s="4" t="s">
        <v>1450</v>
      </c>
      <c r="B38" s="4" t="s">
        <v>6</v>
      </c>
      <c r="C38" s="24" t="s">
        <v>1490</v>
      </c>
      <c r="D38" s="4" t="s">
        <v>12</v>
      </c>
      <c r="E38" s="35" t="s">
        <v>1494</v>
      </c>
    </row>
    <row r="39">
      <c r="A39" s="4" t="s">
        <v>1450</v>
      </c>
      <c r="B39" s="4" t="s">
        <v>6</v>
      </c>
      <c r="C39" s="24" t="s">
        <v>1495</v>
      </c>
      <c r="D39" s="4" t="s">
        <v>12</v>
      </c>
      <c r="E39" s="35" t="s">
        <v>1496</v>
      </c>
    </row>
    <row r="40">
      <c r="A40" s="4"/>
      <c r="B40" s="4"/>
      <c r="C40" s="24"/>
      <c r="D40" s="4"/>
      <c r="E40" s="41"/>
    </row>
    <row r="41">
      <c r="A41" s="4"/>
      <c r="B41" s="4"/>
      <c r="C41" s="24"/>
      <c r="D41" s="4"/>
      <c r="E41" s="41"/>
    </row>
    <row r="42">
      <c r="A42" s="4"/>
      <c r="B42" s="4"/>
      <c r="C42" s="24"/>
      <c r="D42" s="4"/>
      <c r="E42" s="41"/>
    </row>
    <row r="43">
      <c r="A43" s="4"/>
      <c r="B43" s="4"/>
      <c r="C43" s="24"/>
      <c r="D43" s="4"/>
      <c r="E43" s="41"/>
    </row>
    <row r="44">
      <c r="A44" s="4"/>
      <c r="B44" s="4"/>
      <c r="C44" s="24"/>
      <c r="D44" s="4"/>
      <c r="E44" s="41"/>
    </row>
    <row r="45">
      <c r="A45" s="4"/>
      <c r="B45" s="4"/>
      <c r="C45" s="24"/>
      <c r="D45" s="4"/>
      <c r="E45" s="41"/>
    </row>
    <row r="46">
      <c r="A46" s="4"/>
      <c r="B46" s="4"/>
      <c r="C46" s="24"/>
      <c r="D46" s="4"/>
      <c r="E46" s="41"/>
    </row>
    <row r="47">
      <c r="A47" s="4"/>
      <c r="B47" s="4"/>
      <c r="C47" s="24"/>
      <c r="D47" s="4"/>
      <c r="E47" s="41"/>
    </row>
    <row r="48">
      <c r="A48" s="4"/>
      <c r="B48" s="4"/>
      <c r="C48" s="24"/>
      <c r="D48" s="4"/>
      <c r="E48" s="41"/>
    </row>
    <row r="49">
      <c r="A49" s="4"/>
      <c r="B49" s="4"/>
      <c r="C49" s="24"/>
      <c r="D49" s="4"/>
      <c r="E49" s="41"/>
    </row>
    <row r="50">
      <c r="A50" s="4"/>
      <c r="B50" s="4"/>
      <c r="C50" s="24"/>
      <c r="D50" s="4"/>
      <c r="E50" s="41"/>
    </row>
    <row r="51">
      <c r="A51" s="4"/>
      <c r="B51" s="4"/>
      <c r="C51" s="24"/>
      <c r="D51" s="4"/>
      <c r="E51" s="41"/>
    </row>
    <row r="52">
      <c r="A52" s="4"/>
      <c r="B52" s="4"/>
      <c r="C52" s="24"/>
      <c r="D52" s="4"/>
      <c r="E52" s="41"/>
    </row>
    <row r="53">
      <c r="A53" s="4"/>
      <c r="B53" s="4"/>
      <c r="C53" s="24"/>
      <c r="D53" s="4"/>
      <c r="E53" s="41"/>
    </row>
    <row r="54">
      <c r="A54" s="4"/>
      <c r="B54" s="4"/>
      <c r="C54" s="24"/>
      <c r="D54" s="4"/>
      <c r="E54" s="41"/>
    </row>
    <row r="55">
      <c r="A55" s="4"/>
      <c r="B55" s="4"/>
      <c r="C55" s="24"/>
      <c r="D55" s="4"/>
      <c r="E55" s="41"/>
    </row>
    <row r="56">
      <c r="A56" s="4"/>
      <c r="B56" s="4"/>
      <c r="C56" s="24"/>
      <c r="D56" s="4"/>
      <c r="E56" s="41"/>
    </row>
    <row r="57">
      <c r="A57" s="4"/>
      <c r="B57" s="4"/>
      <c r="C57" s="24"/>
      <c r="D57" s="4"/>
      <c r="E57" s="41"/>
    </row>
    <row r="58">
      <c r="A58" s="4"/>
      <c r="B58" s="4"/>
      <c r="C58" s="24"/>
      <c r="D58" s="4"/>
      <c r="E58" s="41"/>
    </row>
    <row r="59">
      <c r="A59" s="4"/>
      <c r="B59" s="4"/>
      <c r="C59" s="24"/>
      <c r="D59" s="4"/>
      <c r="E59" s="41"/>
    </row>
    <row r="60">
      <c r="A60" s="4"/>
      <c r="B60" s="4"/>
      <c r="C60" s="24"/>
      <c r="D60" s="4"/>
      <c r="E60" s="41"/>
    </row>
    <row r="61">
      <c r="A61" s="4"/>
      <c r="B61" s="4"/>
      <c r="C61" s="24"/>
      <c r="D61" s="4"/>
      <c r="E61" s="41"/>
    </row>
    <row r="62">
      <c r="A62" s="4"/>
      <c r="B62" s="4"/>
      <c r="C62" s="24"/>
      <c r="D62" s="4"/>
      <c r="E62" s="41"/>
    </row>
    <row r="63">
      <c r="A63" s="4"/>
      <c r="B63" s="4"/>
      <c r="C63" s="24"/>
      <c r="D63" s="4"/>
      <c r="E63" s="41"/>
    </row>
    <row r="64">
      <c r="A64" s="4"/>
      <c r="B64" s="4"/>
      <c r="C64" s="24"/>
      <c r="D64" s="4"/>
      <c r="E64" s="41"/>
    </row>
    <row r="65">
      <c r="A65" s="4"/>
      <c r="B65" s="4"/>
      <c r="C65" s="24"/>
      <c r="D65" s="4"/>
      <c r="E65" s="41"/>
    </row>
    <row r="66">
      <c r="A66" s="4"/>
      <c r="B66" s="4"/>
      <c r="C66" s="24"/>
      <c r="D66" s="4"/>
      <c r="E66" s="41"/>
    </row>
    <row r="67">
      <c r="A67" s="4"/>
      <c r="B67" s="4"/>
      <c r="C67" s="24"/>
      <c r="D67" s="4"/>
      <c r="E67" s="41"/>
    </row>
    <row r="68">
      <c r="A68" s="4"/>
      <c r="B68" s="4"/>
      <c r="C68" s="24"/>
      <c r="D68" s="4"/>
      <c r="E68" s="41"/>
    </row>
    <row r="69">
      <c r="A69" s="4"/>
      <c r="B69" s="4"/>
      <c r="C69" s="24"/>
      <c r="D69" s="4"/>
      <c r="E69" s="41"/>
    </row>
    <row r="70">
      <c r="A70" s="4"/>
      <c r="B70" s="4"/>
      <c r="C70" s="24"/>
      <c r="D70" s="4"/>
      <c r="E70" s="41"/>
    </row>
    <row r="71">
      <c r="A71" s="4"/>
      <c r="B71" s="4"/>
      <c r="C71" s="24"/>
      <c r="D71" s="4"/>
      <c r="E71" s="41"/>
    </row>
    <row r="72">
      <c r="A72" s="4"/>
      <c r="B72" s="4"/>
      <c r="C72" s="24"/>
      <c r="D72" s="4"/>
      <c r="E72" s="41"/>
    </row>
    <row r="73">
      <c r="A73" s="4"/>
      <c r="B73" s="4"/>
      <c r="C73" s="24"/>
      <c r="D73" s="4"/>
      <c r="E73" s="41"/>
    </row>
    <row r="74">
      <c r="A74" s="4"/>
      <c r="B74" s="4"/>
      <c r="C74" s="24"/>
      <c r="D74" s="4"/>
      <c r="E74" s="41"/>
    </row>
    <row r="75">
      <c r="A75" s="4"/>
      <c r="B75" s="4"/>
      <c r="C75" s="24"/>
      <c r="D75" s="4"/>
      <c r="E75" s="41"/>
    </row>
    <row r="76">
      <c r="A76" s="4"/>
      <c r="B76" s="4"/>
      <c r="C76" s="24"/>
      <c r="D76" s="4"/>
      <c r="E76" s="41"/>
    </row>
    <row r="77">
      <c r="A77" s="4"/>
      <c r="B77" s="4"/>
      <c r="C77" s="24"/>
      <c r="D77" s="4"/>
      <c r="E77" s="41"/>
    </row>
    <row r="78">
      <c r="A78" s="4"/>
      <c r="B78" s="4"/>
      <c r="C78" s="24"/>
      <c r="D78" s="4"/>
      <c r="E78" s="41"/>
    </row>
    <row r="79">
      <c r="A79" s="4"/>
      <c r="B79" s="4"/>
      <c r="C79" s="24"/>
      <c r="D79" s="4"/>
      <c r="E79" s="41"/>
    </row>
    <row r="80">
      <c r="A80" s="4"/>
      <c r="B80" s="4"/>
      <c r="C80" s="24"/>
      <c r="D80" s="4"/>
      <c r="E80" s="41"/>
    </row>
    <row r="81">
      <c r="A81" s="4"/>
      <c r="B81" s="4"/>
      <c r="C81" s="24"/>
      <c r="D81" s="4"/>
      <c r="E81" s="41"/>
    </row>
    <row r="82">
      <c r="A82" s="4"/>
      <c r="B82" s="4"/>
      <c r="C82" s="24"/>
      <c r="D82" s="4"/>
      <c r="E82" s="41"/>
    </row>
    <row r="83">
      <c r="A83" s="4"/>
      <c r="B83" s="4"/>
      <c r="C83" s="24"/>
      <c r="D83" s="4"/>
      <c r="E83" s="41"/>
    </row>
    <row r="84">
      <c r="A84" s="4"/>
      <c r="B84" s="4"/>
      <c r="C84" s="24"/>
      <c r="D84" s="4"/>
      <c r="E84" s="41"/>
    </row>
    <row r="85">
      <c r="A85" s="4"/>
      <c r="B85" s="4"/>
      <c r="C85" s="24"/>
      <c r="D85" s="4"/>
      <c r="E85" s="41"/>
    </row>
    <row r="86">
      <c r="A86" s="4"/>
      <c r="B86" s="4"/>
      <c r="C86" s="24"/>
      <c r="D86" s="4"/>
      <c r="E86" s="41"/>
    </row>
    <row r="87">
      <c r="A87" s="4"/>
      <c r="B87" s="4"/>
      <c r="C87" s="24"/>
      <c r="D87" s="4"/>
      <c r="E87" s="41"/>
    </row>
    <row r="88">
      <c r="A88" s="4"/>
      <c r="B88" s="4"/>
      <c r="C88" s="24"/>
      <c r="D88" s="4"/>
      <c r="E88" s="41"/>
    </row>
    <row r="89">
      <c r="A89" s="4"/>
      <c r="B89" s="4"/>
      <c r="C89" s="24"/>
      <c r="D89" s="4"/>
      <c r="E89" s="41"/>
    </row>
    <row r="90">
      <c r="A90" s="4"/>
      <c r="B90" s="4"/>
      <c r="C90" s="24"/>
      <c r="D90" s="4"/>
      <c r="E90" s="41"/>
    </row>
    <row r="91">
      <c r="A91" s="4"/>
      <c r="B91" s="4"/>
      <c r="C91" s="24"/>
      <c r="D91" s="4"/>
      <c r="E91" s="41"/>
    </row>
    <row r="92">
      <c r="A92" s="4"/>
      <c r="B92" s="4"/>
      <c r="C92" s="28"/>
      <c r="D92" s="4"/>
      <c r="E92" s="41"/>
    </row>
    <row r="93">
      <c r="A93" s="4"/>
      <c r="B93" s="4"/>
      <c r="C93" s="24"/>
      <c r="D93" s="4"/>
      <c r="E93" s="41"/>
    </row>
    <row r="94">
      <c r="A94" s="4"/>
      <c r="B94" s="4"/>
      <c r="C94" s="24"/>
      <c r="D94" s="4"/>
      <c r="E94" s="41"/>
    </row>
    <row r="95">
      <c r="A95" s="4"/>
      <c r="B95" s="4"/>
      <c r="C95" s="24"/>
      <c r="D95" s="4"/>
      <c r="E95" s="41"/>
    </row>
    <row r="96">
      <c r="A96" s="4"/>
      <c r="B96" s="4"/>
      <c r="C96" s="24"/>
      <c r="D96" s="4"/>
      <c r="E96" s="41"/>
    </row>
    <row r="97">
      <c r="A97" s="4"/>
      <c r="B97" s="4"/>
      <c r="C97" s="24"/>
      <c r="D97" s="4"/>
      <c r="E97" s="41"/>
    </row>
    <row r="98">
      <c r="A98" s="4"/>
      <c r="B98" s="4"/>
      <c r="C98" s="24"/>
      <c r="D98" s="4"/>
      <c r="E98" s="41"/>
    </row>
    <row r="99">
      <c r="A99" s="4"/>
      <c r="B99" s="4"/>
      <c r="C99" s="24"/>
      <c r="D99" s="4"/>
      <c r="E99" s="41"/>
    </row>
    <row r="100">
      <c r="A100" s="4"/>
      <c r="B100" s="4"/>
      <c r="C100" s="24"/>
      <c r="D100" s="4"/>
      <c r="E100" s="42"/>
    </row>
    <row r="101">
      <c r="A101" s="4"/>
      <c r="B101" s="4"/>
      <c r="C101" s="24"/>
      <c r="D101" s="4"/>
      <c r="E101" s="42"/>
    </row>
    <row r="102">
      <c r="A102" s="4"/>
      <c r="B102" s="4"/>
      <c r="C102" s="24"/>
      <c r="D102" s="4"/>
      <c r="E102" s="41"/>
    </row>
    <row r="103">
      <c r="A103" s="4"/>
      <c r="B103" s="4"/>
      <c r="C103" s="24"/>
      <c r="D103" s="4"/>
      <c r="E103" s="41"/>
    </row>
    <row r="104">
      <c r="A104" s="4"/>
      <c r="B104" s="4"/>
      <c r="C104" s="24"/>
      <c r="D104" s="4"/>
      <c r="E104" s="41"/>
    </row>
    <row r="105">
      <c r="A105" s="4"/>
      <c r="B105" s="4"/>
      <c r="C105" s="24"/>
      <c r="D105" s="4"/>
      <c r="E105" s="41"/>
    </row>
    <row r="106">
      <c r="A106" s="4"/>
      <c r="B106" s="4"/>
      <c r="C106" s="24"/>
      <c r="D106" s="4"/>
      <c r="E106" s="41"/>
    </row>
    <row r="107">
      <c r="A107" s="4"/>
      <c r="B107" s="4"/>
      <c r="C107" s="24"/>
      <c r="D107" s="4"/>
      <c r="E107" s="41"/>
    </row>
    <row r="108">
      <c r="A108" s="4"/>
      <c r="B108" s="4"/>
      <c r="C108" s="24"/>
      <c r="D108" s="4"/>
      <c r="E108" s="41"/>
    </row>
    <row r="109">
      <c r="A109" s="4"/>
      <c r="B109" s="4"/>
      <c r="C109" s="24"/>
      <c r="D109" s="4"/>
      <c r="E109" s="41"/>
    </row>
    <row r="110">
      <c r="A110" s="4"/>
      <c r="B110" s="4"/>
      <c r="C110" s="24"/>
      <c r="D110" s="4"/>
      <c r="E110" s="41"/>
    </row>
    <row r="111">
      <c r="A111" s="4"/>
      <c r="B111" s="4"/>
      <c r="C111" s="24"/>
      <c r="D111" s="4"/>
      <c r="E111" s="41"/>
    </row>
    <row r="112">
      <c r="A112" s="4"/>
      <c r="B112" s="4"/>
      <c r="C112" s="24"/>
      <c r="D112" s="4"/>
      <c r="E112" s="41"/>
    </row>
    <row r="113">
      <c r="A113" s="4"/>
      <c r="B113" s="4"/>
      <c r="C113" s="24"/>
      <c r="D113" s="4"/>
      <c r="E113" s="41"/>
    </row>
    <row r="114">
      <c r="A114" s="4"/>
      <c r="B114" s="4"/>
      <c r="C114" s="24"/>
      <c r="D114" s="4"/>
      <c r="E114" s="41"/>
    </row>
    <row r="115">
      <c r="A115" s="4"/>
      <c r="B115" s="4"/>
      <c r="C115" s="24"/>
      <c r="D115" s="4"/>
      <c r="E115" s="41"/>
    </row>
    <row r="116">
      <c r="A116" s="4"/>
      <c r="B116" s="4"/>
      <c r="C116" s="24"/>
      <c r="D116" s="4"/>
      <c r="E116" s="41"/>
    </row>
    <row r="117">
      <c r="A117" s="4"/>
      <c r="B117" s="4"/>
      <c r="C117" s="24"/>
      <c r="D117" s="4"/>
      <c r="E117" s="41"/>
    </row>
    <row r="118">
      <c r="A118" s="4"/>
      <c r="B118" s="4"/>
      <c r="C118" s="24"/>
      <c r="D118" s="4"/>
      <c r="E118" s="41"/>
    </row>
    <row r="119">
      <c r="A119" s="4"/>
      <c r="B119" s="4"/>
      <c r="C119" s="24"/>
      <c r="D119" s="4"/>
      <c r="E119" s="41"/>
    </row>
    <row r="120">
      <c r="A120" s="4"/>
      <c r="B120" s="4"/>
      <c r="C120" s="24"/>
      <c r="D120" s="4"/>
      <c r="E120" s="41"/>
    </row>
    <row r="121">
      <c r="A121" s="4"/>
      <c r="B121" s="4"/>
      <c r="C121" s="24"/>
      <c r="D121" s="4"/>
      <c r="E121" s="41"/>
    </row>
    <row r="122">
      <c r="A122" s="4"/>
      <c r="B122" s="4"/>
      <c r="C122" s="24"/>
      <c r="D122" s="4"/>
      <c r="E122" s="41"/>
    </row>
    <row r="123">
      <c r="A123" s="4"/>
      <c r="B123" s="4"/>
      <c r="C123" s="24"/>
      <c r="D123" s="4"/>
      <c r="E123" s="41"/>
    </row>
    <row r="124">
      <c r="A124" s="4"/>
      <c r="B124" s="4"/>
      <c r="C124" s="24"/>
      <c r="D124" s="4"/>
      <c r="E124" s="41"/>
    </row>
    <row r="125">
      <c r="A125" s="4"/>
      <c r="B125" s="4"/>
      <c r="C125" s="24"/>
      <c r="D125" s="4"/>
      <c r="E125" s="41"/>
    </row>
    <row r="126">
      <c r="A126" s="4"/>
      <c r="B126" s="4"/>
      <c r="C126" s="24"/>
      <c r="D126" s="4"/>
      <c r="E126" s="41"/>
    </row>
    <row r="127">
      <c r="A127" s="4"/>
      <c r="B127" s="4"/>
      <c r="C127" s="24"/>
      <c r="D127" s="4"/>
      <c r="E127" s="41"/>
    </row>
    <row r="128">
      <c r="A128" s="4"/>
      <c r="B128" s="4"/>
      <c r="C128" s="28"/>
      <c r="D128" s="4"/>
      <c r="E128" s="41"/>
    </row>
    <row r="129">
      <c r="A129" s="4"/>
      <c r="B129" s="4"/>
      <c r="C129" s="24"/>
      <c r="D129" s="4"/>
      <c r="E129" s="42"/>
    </row>
    <row r="130">
      <c r="A130" s="4"/>
      <c r="B130" s="4"/>
      <c r="C130" s="24"/>
      <c r="D130" s="4"/>
      <c r="E130" s="42"/>
    </row>
    <row r="131">
      <c r="A131" s="4"/>
      <c r="B131" s="4"/>
      <c r="C131" s="24"/>
      <c r="D131" s="4"/>
      <c r="E131" s="42"/>
    </row>
    <row r="132">
      <c r="A132" s="4"/>
      <c r="B132" s="14"/>
      <c r="C132" s="24"/>
      <c r="D132" s="4"/>
      <c r="E132" s="43"/>
    </row>
    <row r="133">
      <c r="A133" s="4"/>
      <c r="B133" s="4"/>
      <c r="C133" s="24"/>
      <c r="D133" s="4"/>
      <c r="E133" s="42"/>
    </row>
    <row r="134">
      <c r="A134" s="4"/>
      <c r="B134" s="4"/>
      <c r="C134" s="24"/>
      <c r="D134" s="4"/>
      <c r="E134" s="42"/>
    </row>
    <row r="135">
      <c r="A135" s="4"/>
      <c r="B135" s="4"/>
      <c r="C135" s="24"/>
      <c r="D135" s="4"/>
      <c r="E135" s="24"/>
    </row>
    <row r="136">
      <c r="A136" s="4"/>
      <c r="B136" s="4"/>
      <c r="C136" s="24"/>
      <c r="D136" s="4"/>
      <c r="E136" s="42"/>
    </row>
    <row r="137">
      <c r="A137" s="4"/>
      <c r="B137" s="4"/>
      <c r="C137" s="24"/>
      <c r="D137" s="4"/>
      <c r="E137" s="42"/>
    </row>
    <row r="138">
      <c r="A138" s="4"/>
      <c r="B138" s="4"/>
      <c r="C138" s="24"/>
      <c r="D138" s="4"/>
      <c r="E138" s="41"/>
    </row>
    <row r="139">
      <c r="A139" s="4"/>
      <c r="B139" s="4"/>
      <c r="C139" s="24"/>
      <c r="D139" s="4"/>
      <c r="E139" s="41"/>
    </row>
    <row r="140">
      <c r="A140" s="4"/>
      <c r="B140" s="4"/>
      <c r="C140" s="24"/>
      <c r="D140" s="4"/>
      <c r="E140" s="42"/>
    </row>
    <row r="141">
      <c r="A141" s="4"/>
      <c r="B141" s="4"/>
      <c r="C141" s="24"/>
      <c r="D141" s="4"/>
      <c r="E141" s="42"/>
    </row>
    <row r="142">
      <c r="A142" s="4"/>
      <c r="B142" s="4"/>
      <c r="C142" s="28"/>
      <c r="D142" s="4"/>
      <c r="E142" s="42"/>
    </row>
    <row r="143">
      <c r="A143" s="4"/>
      <c r="B143" s="4"/>
      <c r="C143" s="28"/>
      <c r="D143" s="4"/>
      <c r="E143" s="42"/>
    </row>
    <row r="144">
      <c r="A144" s="4"/>
      <c r="B144" s="4"/>
      <c r="C144" s="24"/>
      <c r="D144" s="4"/>
      <c r="E144" s="41"/>
    </row>
    <row r="145">
      <c r="A145" s="4"/>
      <c r="B145" s="4"/>
      <c r="C145" s="24"/>
      <c r="D145" s="4"/>
      <c r="E145" s="41"/>
    </row>
    <row r="146">
      <c r="A146" s="4"/>
      <c r="B146" s="4"/>
      <c r="C146" s="24"/>
      <c r="D146" s="4"/>
      <c r="E146" s="41"/>
    </row>
    <row r="147">
      <c r="A147" s="4"/>
      <c r="B147" s="4"/>
      <c r="C147" s="24"/>
      <c r="D147" s="4"/>
      <c r="E147" s="41"/>
    </row>
    <row r="148">
      <c r="A148" s="4"/>
      <c r="B148" s="4"/>
      <c r="C148" s="24"/>
      <c r="D148" s="4"/>
      <c r="E148" s="41"/>
    </row>
    <row r="149">
      <c r="A149" s="4"/>
      <c r="B149" s="4"/>
      <c r="C149" s="24"/>
      <c r="D149" s="4"/>
      <c r="E149" s="41"/>
    </row>
    <row r="150">
      <c r="A150" s="4"/>
      <c r="B150" s="4"/>
      <c r="C150" s="24"/>
      <c r="D150" s="4"/>
      <c r="E150" s="41"/>
    </row>
    <row r="151">
      <c r="A151" s="4"/>
      <c r="B151" s="4"/>
      <c r="C151" s="24"/>
      <c r="D151" s="4"/>
      <c r="E151" s="41"/>
    </row>
    <row r="152">
      <c r="A152" s="4"/>
      <c r="B152" s="4"/>
      <c r="C152" s="24"/>
      <c r="D152" s="4"/>
      <c r="E152" s="41"/>
    </row>
    <row r="153">
      <c r="A153" s="4"/>
      <c r="B153" s="4"/>
      <c r="C153" s="24"/>
      <c r="D153" s="4"/>
      <c r="E153" s="41"/>
    </row>
    <row r="154">
      <c r="A154" s="4"/>
      <c r="B154" s="4"/>
      <c r="C154" s="24"/>
      <c r="D154" s="4"/>
      <c r="E154" s="41"/>
    </row>
    <row r="155">
      <c r="A155" s="4"/>
      <c r="B155" s="4"/>
      <c r="C155" s="24"/>
      <c r="D155" s="4"/>
      <c r="E155" s="41"/>
    </row>
    <row r="156">
      <c r="A156" s="4"/>
      <c r="B156" s="4"/>
      <c r="C156" s="24"/>
      <c r="D156" s="4"/>
      <c r="E156" s="41"/>
    </row>
    <row r="157">
      <c r="A157" s="4"/>
      <c r="B157" s="4"/>
      <c r="C157" s="24"/>
      <c r="D157" s="4"/>
      <c r="E157" s="41"/>
    </row>
    <row r="158">
      <c r="A158" s="4"/>
      <c r="B158" s="4"/>
      <c r="C158" s="24"/>
      <c r="D158" s="4"/>
      <c r="E158" s="41"/>
    </row>
    <row r="159">
      <c r="A159" s="4"/>
      <c r="B159" s="4"/>
      <c r="C159" s="24"/>
      <c r="D159" s="4"/>
      <c r="E159" s="41"/>
    </row>
    <row r="160">
      <c r="A160" s="4"/>
      <c r="B160" s="4"/>
      <c r="C160" s="24"/>
      <c r="D160" s="4"/>
      <c r="E160" s="41"/>
    </row>
    <row r="161">
      <c r="A161" s="4"/>
      <c r="B161" s="4"/>
      <c r="C161" s="24"/>
      <c r="D161" s="4"/>
      <c r="E161" s="41"/>
    </row>
    <row r="162">
      <c r="A162" s="4"/>
      <c r="B162" s="4"/>
      <c r="C162" s="24"/>
      <c r="D162" s="4"/>
      <c r="E162" s="41"/>
    </row>
    <row r="163">
      <c r="A163" s="4"/>
      <c r="B163" s="4"/>
      <c r="C163" s="24"/>
      <c r="D163" s="4"/>
      <c r="E163" s="44"/>
    </row>
    <row r="164">
      <c r="A164" s="4"/>
      <c r="B164" s="4"/>
      <c r="C164" s="24"/>
      <c r="D164" s="4"/>
      <c r="E164" s="41"/>
    </row>
    <row r="165">
      <c r="A165" s="4"/>
      <c r="B165" s="4"/>
      <c r="C165" s="24"/>
      <c r="D165" s="4"/>
      <c r="E165" s="41"/>
    </row>
    <row r="166">
      <c r="A166" s="4"/>
      <c r="B166" s="4"/>
      <c r="C166" s="24"/>
      <c r="D166" s="4"/>
      <c r="E166" s="41"/>
    </row>
    <row r="167">
      <c r="A167" s="4"/>
      <c r="B167" s="4"/>
      <c r="C167" s="24"/>
      <c r="D167" s="4"/>
      <c r="E167" s="41"/>
    </row>
    <row r="168">
      <c r="A168" s="4"/>
      <c r="B168" s="4"/>
      <c r="C168" s="24"/>
      <c r="D168" s="4"/>
      <c r="E168" s="41"/>
    </row>
    <row r="169">
      <c r="A169" s="4"/>
      <c r="B169" s="4"/>
      <c r="C169" s="24"/>
      <c r="D169" s="4"/>
      <c r="E169" s="41"/>
    </row>
    <row r="170">
      <c r="A170" s="4"/>
      <c r="B170" s="4"/>
      <c r="C170" s="24"/>
      <c r="D170" s="4"/>
      <c r="E170" s="41"/>
    </row>
    <row r="171">
      <c r="A171" s="4"/>
      <c r="B171" s="4"/>
      <c r="C171" s="24"/>
      <c r="D171" s="4"/>
      <c r="E171" s="41"/>
    </row>
    <row r="172">
      <c r="A172" s="4"/>
      <c r="B172" s="4"/>
      <c r="C172" s="24"/>
      <c r="D172" s="4"/>
      <c r="E172" s="41"/>
    </row>
    <row r="173">
      <c r="A173" s="4"/>
      <c r="B173" s="4"/>
      <c r="C173" s="24"/>
      <c r="D173" s="4"/>
      <c r="E173" s="41"/>
    </row>
    <row r="174">
      <c r="A174" s="4"/>
      <c r="B174" s="4"/>
      <c r="C174" s="24"/>
      <c r="D174" s="4"/>
      <c r="E174" s="41"/>
    </row>
    <row r="175">
      <c r="A175" s="4"/>
      <c r="B175" s="4"/>
      <c r="C175" s="24"/>
      <c r="D175" s="4"/>
      <c r="E175" s="41"/>
    </row>
    <row r="176">
      <c r="A176" s="4"/>
      <c r="B176" s="4"/>
      <c r="C176" s="24"/>
      <c r="D176" s="4"/>
      <c r="E176" s="41"/>
    </row>
    <row r="177">
      <c r="A177" s="4"/>
      <c r="B177" s="4"/>
      <c r="C177" s="24"/>
      <c r="D177" s="4"/>
      <c r="E177" s="41"/>
    </row>
    <row r="178">
      <c r="A178" s="4"/>
      <c r="B178" s="4"/>
      <c r="C178" s="24"/>
      <c r="D178" s="4"/>
      <c r="E178" s="41"/>
    </row>
    <row r="179">
      <c r="A179" s="4"/>
      <c r="B179" s="4"/>
      <c r="C179" s="24"/>
      <c r="D179" s="4"/>
      <c r="E179" s="41"/>
    </row>
    <row r="180">
      <c r="A180" s="4"/>
      <c r="B180" s="4"/>
      <c r="C180" s="24"/>
      <c r="D180" s="4"/>
      <c r="E180" s="41"/>
    </row>
    <row r="181">
      <c r="A181" s="4"/>
      <c r="B181" s="4"/>
      <c r="C181" s="24"/>
      <c r="D181" s="4"/>
      <c r="E181" s="41"/>
    </row>
    <row r="182">
      <c r="A182" s="4"/>
      <c r="B182" s="4"/>
      <c r="C182" s="24"/>
      <c r="D182" s="4"/>
      <c r="E182" s="41"/>
    </row>
    <row r="183">
      <c r="A183" s="4"/>
      <c r="B183" s="4"/>
      <c r="C183" s="24"/>
      <c r="D183" s="4"/>
      <c r="E183" s="41"/>
    </row>
    <row r="184">
      <c r="A184" s="4"/>
      <c r="B184" s="4"/>
      <c r="C184" s="24"/>
      <c r="D184" s="4"/>
      <c r="E184" s="41"/>
    </row>
    <row r="185">
      <c r="A185" s="4"/>
      <c r="B185" s="4"/>
      <c r="C185" s="24"/>
      <c r="D185" s="4"/>
      <c r="E185" s="41"/>
    </row>
    <row r="186">
      <c r="A186" s="4"/>
      <c r="B186" s="4"/>
      <c r="C186" s="24"/>
      <c r="D186" s="4"/>
      <c r="E186" s="41"/>
    </row>
    <row r="187">
      <c r="A187" s="4"/>
      <c r="B187" s="4"/>
      <c r="C187" s="24"/>
      <c r="D187" s="4"/>
      <c r="E187" s="41"/>
    </row>
    <row r="188">
      <c r="A188" s="4"/>
      <c r="B188" s="4"/>
      <c r="C188" s="24"/>
      <c r="D188" s="4"/>
      <c r="E188" s="41"/>
    </row>
    <row r="189">
      <c r="A189" s="4"/>
      <c r="B189" s="4"/>
      <c r="C189" s="24"/>
      <c r="D189" s="4"/>
      <c r="E189" s="41"/>
    </row>
    <row r="190">
      <c r="A190" s="4"/>
      <c r="B190" s="4"/>
      <c r="C190" s="24"/>
      <c r="D190" s="4"/>
      <c r="E190" s="41"/>
    </row>
    <row r="191">
      <c r="A191" s="4"/>
      <c r="B191" s="4"/>
      <c r="C191" s="24"/>
      <c r="D191" s="4"/>
      <c r="E191" s="41"/>
    </row>
    <row r="192">
      <c r="A192" s="4"/>
      <c r="B192" s="4"/>
      <c r="C192" s="24"/>
      <c r="D192" s="4"/>
      <c r="E192" s="41"/>
    </row>
    <row r="193">
      <c r="A193" s="4"/>
      <c r="B193" s="4"/>
      <c r="C193" s="24"/>
      <c r="D193" s="4"/>
      <c r="E193" s="41"/>
    </row>
    <row r="194">
      <c r="A194" s="4"/>
      <c r="B194" s="4"/>
      <c r="C194" s="24"/>
      <c r="D194" s="4"/>
      <c r="E194" s="41"/>
    </row>
    <row r="195">
      <c r="A195" s="4"/>
      <c r="B195" s="4"/>
      <c r="C195" s="24"/>
      <c r="D195" s="4"/>
      <c r="E195" s="41"/>
    </row>
    <row r="196">
      <c r="A196" s="4"/>
      <c r="B196" s="4"/>
      <c r="C196" s="24"/>
      <c r="D196" s="4"/>
      <c r="E196" s="41"/>
    </row>
    <row r="197">
      <c r="A197" s="4"/>
      <c r="B197" s="4"/>
      <c r="C197" s="24"/>
      <c r="D197" s="4"/>
      <c r="E197" s="41"/>
    </row>
    <row r="198">
      <c r="A198" s="4"/>
      <c r="B198" s="4"/>
      <c r="C198" s="24"/>
      <c r="D198" s="4"/>
      <c r="E198" s="41"/>
    </row>
    <row r="199">
      <c r="A199" s="4"/>
      <c r="B199" s="4"/>
      <c r="C199" s="24"/>
      <c r="D199" s="4"/>
      <c r="E199" s="41"/>
    </row>
    <row r="200">
      <c r="A200" s="4"/>
      <c r="B200" s="4"/>
      <c r="C200" s="24"/>
      <c r="D200" s="4"/>
      <c r="E200" s="41"/>
    </row>
    <row r="201">
      <c r="A201" s="4"/>
      <c r="B201" s="4"/>
      <c r="C201" s="24"/>
      <c r="D201" s="4"/>
      <c r="E201" s="44"/>
    </row>
    <row r="202">
      <c r="A202" s="4"/>
      <c r="B202" s="4"/>
      <c r="C202" s="24"/>
      <c r="D202" s="4"/>
      <c r="E202" s="41"/>
    </row>
    <row r="203">
      <c r="A203" s="4"/>
      <c r="B203" s="4"/>
      <c r="C203" s="24"/>
      <c r="D203" s="4"/>
      <c r="E203" s="41"/>
    </row>
    <row r="204">
      <c r="A204" s="4"/>
      <c r="B204" s="4"/>
      <c r="C204" s="24"/>
      <c r="D204" s="4"/>
      <c r="E204" s="41"/>
    </row>
    <row r="205">
      <c r="A205" s="4"/>
      <c r="B205" s="4"/>
      <c r="C205" s="24"/>
      <c r="D205" s="4"/>
      <c r="E205" s="41"/>
    </row>
    <row r="206">
      <c r="A206" s="4"/>
      <c r="B206" s="4"/>
      <c r="C206" s="24"/>
      <c r="D206" s="4"/>
      <c r="E206" s="41"/>
    </row>
    <row r="207">
      <c r="A207" s="4"/>
      <c r="B207" s="4"/>
      <c r="C207" s="24"/>
      <c r="D207" s="4"/>
      <c r="E207" s="41"/>
    </row>
    <row r="208">
      <c r="A208" s="4"/>
      <c r="B208" s="4"/>
      <c r="C208" s="24"/>
      <c r="D208" s="4"/>
      <c r="E208" s="41"/>
    </row>
    <row r="209">
      <c r="A209" s="4"/>
      <c r="B209" s="4"/>
      <c r="C209" s="24"/>
      <c r="D209" s="4"/>
      <c r="E209" s="41"/>
    </row>
    <row r="210">
      <c r="A210" s="4"/>
      <c r="B210" s="4"/>
      <c r="C210" s="24"/>
      <c r="D210" s="4"/>
      <c r="E210" s="41"/>
    </row>
    <row r="211">
      <c r="A211" s="4"/>
      <c r="B211" s="4"/>
      <c r="C211" s="24"/>
      <c r="D211" s="4"/>
      <c r="E211" s="41"/>
    </row>
    <row r="212">
      <c r="A212" s="4"/>
      <c r="B212" s="4"/>
      <c r="C212" s="24"/>
      <c r="D212" s="4"/>
      <c r="E212" s="41"/>
    </row>
    <row r="213">
      <c r="A213" s="4"/>
      <c r="B213" s="4"/>
      <c r="C213" s="24"/>
      <c r="D213" s="4"/>
      <c r="E213" s="41"/>
    </row>
    <row r="214">
      <c r="A214" s="4"/>
      <c r="B214" s="4"/>
      <c r="C214" s="24"/>
      <c r="D214" s="4"/>
      <c r="E214" s="41"/>
    </row>
    <row r="215">
      <c r="A215" s="4"/>
      <c r="B215" s="4"/>
      <c r="C215" s="24"/>
      <c r="D215" s="4"/>
      <c r="E215" s="41"/>
    </row>
    <row r="216">
      <c r="A216" s="4"/>
      <c r="B216" s="4"/>
      <c r="C216" s="24"/>
      <c r="D216" s="4"/>
      <c r="E216" s="41"/>
    </row>
    <row r="217">
      <c r="A217" s="4"/>
      <c r="B217" s="4"/>
      <c r="C217" s="24"/>
      <c r="D217" s="4"/>
      <c r="E217" s="41"/>
    </row>
    <row r="218">
      <c r="A218" s="4"/>
      <c r="B218" s="4"/>
      <c r="C218" s="24"/>
      <c r="D218" s="4"/>
      <c r="E218" s="41"/>
    </row>
    <row r="219">
      <c r="A219" s="4"/>
      <c r="B219" s="4"/>
      <c r="C219" s="24"/>
      <c r="D219" s="4"/>
      <c r="E219" s="41"/>
    </row>
    <row r="220">
      <c r="A220" s="4"/>
      <c r="B220" s="4"/>
      <c r="C220" s="24"/>
      <c r="D220" s="4"/>
      <c r="E220" s="41"/>
    </row>
    <row r="221">
      <c r="A221" s="4"/>
      <c r="B221" s="4"/>
      <c r="C221" s="24"/>
      <c r="D221" s="4"/>
      <c r="E221" s="41"/>
    </row>
    <row r="222">
      <c r="A222" s="4"/>
      <c r="B222" s="4"/>
      <c r="C222" s="24"/>
      <c r="D222" s="4"/>
      <c r="E222" s="41"/>
    </row>
    <row r="223">
      <c r="A223" s="4"/>
      <c r="B223" s="4"/>
      <c r="C223" s="24"/>
      <c r="D223" s="4"/>
      <c r="E223" s="41"/>
    </row>
    <row r="224">
      <c r="A224" s="4"/>
      <c r="B224" s="4"/>
      <c r="C224" s="24"/>
      <c r="D224" s="4"/>
      <c r="E224" s="41"/>
    </row>
    <row r="225">
      <c r="A225" s="4"/>
      <c r="B225" s="4"/>
      <c r="C225" s="24"/>
      <c r="D225" s="4"/>
      <c r="E225" s="41"/>
    </row>
    <row r="226">
      <c r="A226" s="4"/>
      <c r="B226" s="4"/>
      <c r="C226" s="24"/>
      <c r="D226" s="4"/>
      <c r="E226" s="41"/>
    </row>
    <row r="227">
      <c r="A227" s="4"/>
      <c r="B227" s="4"/>
      <c r="C227" s="24"/>
      <c r="D227" s="4"/>
      <c r="E227" s="41"/>
    </row>
    <row r="228">
      <c r="A228" s="4"/>
      <c r="B228" s="4"/>
      <c r="C228" s="24"/>
      <c r="D228" s="4"/>
      <c r="E228" s="41"/>
    </row>
    <row r="229">
      <c r="A229" s="4"/>
      <c r="B229" s="4"/>
      <c r="C229" s="24"/>
      <c r="D229" s="4"/>
      <c r="E229" s="41"/>
    </row>
    <row r="230">
      <c r="A230" s="4"/>
      <c r="B230" s="4"/>
      <c r="C230" s="24"/>
      <c r="D230" s="4"/>
      <c r="E230" s="41"/>
    </row>
    <row r="231">
      <c r="A231" s="4"/>
      <c r="B231" s="4"/>
      <c r="C231" s="24"/>
      <c r="D231" s="4"/>
      <c r="E231" s="41"/>
    </row>
    <row r="232">
      <c r="A232" s="4"/>
      <c r="B232" s="4"/>
      <c r="C232" s="24"/>
      <c r="D232" s="4"/>
      <c r="E232" s="41"/>
    </row>
    <row r="233">
      <c r="A233" s="4"/>
      <c r="B233" s="4"/>
      <c r="C233" s="24"/>
      <c r="D233" s="4"/>
      <c r="E233" s="41"/>
    </row>
    <row r="234">
      <c r="A234" s="4"/>
      <c r="B234" s="4"/>
      <c r="C234" s="24"/>
      <c r="D234" s="4"/>
      <c r="E234" s="41"/>
    </row>
    <row r="235">
      <c r="A235" s="4"/>
      <c r="B235" s="4"/>
      <c r="C235" s="24"/>
      <c r="D235" s="4"/>
      <c r="E235" s="41"/>
    </row>
    <row r="236">
      <c r="A236" s="4"/>
      <c r="B236" s="4"/>
      <c r="C236" s="24"/>
      <c r="D236" s="4"/>
      <c r="E236" s="41"/>
    </row>
    <row r="237">
      <c r="A237" s="4"/>
      <c r="B237" s="4"/>
      <c r="C237" s="24"/>
      <c r="D237" s="4"/>
      <c r="E237" s="41"/>
    </row>
    <row r="238">
      <c r="A238" s="4"/>
      <c r="B238" s="4"/>
      <c r="C238" s="24"/>
      <c r="D238" s="4"/>
      <c r="E238" s="41"/>
    </row>
    <row r="239">
      <c r="A239" s="4"/>
      <c r="B239" s="4"/>
      <c r="C239" s="24"/>
      <c r="D239" s="4"/>
      <c r="E239" s="41"/>
    </row>
    <row r="240">
      <c r="A240" s="4"/>
      <c r="B240" s="4"/>
      <c r="C240" s="24"/>
      <c r="D240" s="4"/>
      <c r="E240" s="41"/>
    </row>
    <row r="241">
      <c r="A241" s="4"/>
      <c r="B241" s="4"/>
      <c r="C241" s="24"/>
      <c r="D241" s="4"/>
      <c r="E241" s="41"/>
    </row>
    <row r="242">
      <c r="A242" s="4"/>
      <c r="B242" s="4"/>
      <c r="C242" s="24"/>
      <c r="D242" s="4"/>
      <c r="E242" s="41"/>
    </row>
    <row r="243">
      <c r="A243" s="4"/>
      <c r="B243" s="4"/>
      <c r="C243" s="24"/>
      <c r="D243" s="4"/>
      <c r="E243" s="41"/>
    </row>
    <row r="244">
      <c r="A244" s="4"/>
      <c r="B244" s="4"/>
      <c r="C244" s="28"/>
      <c r="D244" s="4"/>
      <c r="E244" s="41"/>
    </row>
    <row r="245">
      <c r="A245" s="4"/>
      <c r="B245" s="4"/>
      <c r="C245" s="28"/>
      <c r="D245" s="4"/>
      <c r="E245" s="41"/>
    </row>
    <row r="246">
      <c r="A246" s="4"/>
      <c r="B246" s="4"/>
      <c r="C246" s="28"/>
      <c r="D246" s="4"/>
      <c r="E246" s="41"/>
    </row>
    <row r="247">
      <c r="A247" s="4"/>
      <c r="B247" s="4"/>
      <c r="C247" s="24"/>
      <c r="D247" s="4"/>
      <c r="E247" s="41"/>
    </row>
    <row r="248">
      <c r="A248" s="4"/>
      <c r="B248" s="4"/>
      <c r="C248" s="24"/>
      <c r="D248" s="4"/>
      <c r="E248" s="41"/>
    </row>
    <row r="249">
      <c r="A249" s="4"/>
      <c r="B249" s="4"/>
      <c r="C249" s="24"/>
      <c r="D249" s="4"/>
      <c r="E249" s="41"/>
    </row>
    <row r="250">
      <c r="A250" s="4"/>
      <c r="B250" s="4"/>
      <c r="C250" s="24"/>
      <c r="D250" s="4"/>
      <c r="E250" s="41"/>
    </row>
    <row r="251">
      <c r="A251" s="4"/>
      <c r="B251" s="4"/>
      <c r="C251" s="24"/>
      <c r="D251" s="4"/>
      <c r="E251" s="41"/>
    </row>
    <row r="252">
      <c r="A252" s="4"/>
      <c r="B252" s="4"/>
      <c r="C252" s="24"/>
      <c r="D252" s="4"/>
      <c r="E252" s="41"/>
    </row>
    <row r="253">
      <c r="A253" s="4"/>
      <c r="B253" s="4"/>
      <c r="C253" s="24"/>
      <c r="D253" s="4"/>
      <c r="E253" s="41"/>
    </row>
    <row r="254">
      <c r="A254" s="4"/>
      <c r="B254" s="4"/>
      <c r="C254" s="24"/>
      <c r="D254" s="4"/>
      <c r="E254" s="41"/>
    </row>
    <row r="255">
      <c r="A255" s="4"/>
      <c r="B255" s="4"/>
      <c r="C255" s="24"/>
      <c r="D255" s="4"/>
      <c r="E255" s="41"/>
    </row>
    <row r="256">
      <c r="A256" s="4"/>
      <c r="B256" s="4"/>
      <c r="C256" s="24"/>
      <c r="D256" s="4"/>
      <c r="E256" s="41"/>
    </row>
    <row r="257">
      <c r="A257" s="4"/>
      <c r="B257" s="4"/>
      <c r="C257" s="24"/>
      <c r="D257" s="4"/>
      <c r="E257" s="41"/>
    </row>
    <row r="258">
      <c r="A258" s="4"/>
      <c r="B258" s="4"/>
      <c r="C258" s="24"/>
      <c r="D258" s="4"/>
      <c r="E258" s="41"/>
    </row>
    <row r="259">
      <c r="A259" s="4"/>
      <c r="B259" s="4"/>
      <c r="C259" s="28"/>
      <c r="D259" s="4"/>
      <c r="E259" s="41"/>
    </row>
    <row r="260">
      <c r="A260" s="4"/>
      <c r="B260" s="4"/>
      <c r="C260" s="24"/>
      <c r="D260" s="4"/>
      <c r="E260" s="41"/>
    </row>
    <row r="261">
      <c r="A261" s="4"/>
      <c r="B261" s="4"/>
      <c r="C261" s="24"/>
      <c r="D261" s="4"/>
      <c r="E261" s="41"/>
    </row>
    <row r="262">
      <c r="A262" s="33"/>
      <c r="B262" s="33"/>
      <c r="C262" s="45"/>
      <c r="D262" s="33"/>
      <c r="E262" s="45"/>
    </row>
    <row r="263">
      <c r="A263" s="33"/>
      <c r="B263" s="33"/>
      <c r="C263" s="45"/>
      <c r="D263" s="33"/>
      <c r="E263" s="45"/>
    </row>
    <row r="264">
      <c r="A264" s="33"/>
      <c r="B264" s="33"/>
      <c r="C264" s="45"/>
      <c r="D264" s="33"/>
      <c r="E264" s="45"/>
    </row>
    <row r="265">
      <c r="A265" s="33"/>
      <c r="B265" s="33"/>
      <c r="C265" s="45"/>
      <c r="D265" s="33"/>
      <c r="E265" s="45"/>
    </row>
    <row r="266">
      <c r="A266" s="33"/>
      <c r="B266" s="33"/>
      <c r="C266" s="45"/>
      <c r="D266" s="33"/>
      <c r="E266" s="45"/>
    </row>
    <row r="267">
      <c r="A267" s="33"/>
      <c r="B267" s="33"/>
      <c r="C267" s="45"/>
      <c r="D267" s="33"/>
      <c r="E267" s="45"/>
    </row>
    <row r="268">
      <c r="A268" s="33"/>
      <c r="B268" s="33"/>
      <c r="C268" s="45"/>
      <c r="D268" s="33"/>
      <c r="E268" s="45"/>
    </row>
    <row r="269">
      <c r="A269" s="33"/>
      <c r="B269" s="33"/>
      <c r="C269" s="45"/>
      <c r="D269" s="33"/>
      <c r="E269" s="45"/>
    </row>
    <row r="270">
      <c r="A270" s="33"/>
      <c r="B270" s="33"/>
      <c r="C270" s="45"/>
      <c r="D270" s="33"/>
      <c r="E270" s="45"/>
    </row>
    <row r="271">
      <c r="A271" s="33"/>
      <c r="B271" s="33"/>
      <c r="C271" s="45"/>
      <c r="D271" s="33"/>
      <c r="E271" s="45"/>
    </row>
    <row r="272">
      <c r="A272" s="33"/>
      <c r="B272" s="33"/>
      <c r="C272" s="45"/>
      <c r="D272" s="33"/>
      <c r="E272" s="45"/>
    </row>
    <row r="273">
      <c r="A273" s="33"/>
      <c r="B273" s="33"/>
      <c r="C273" s="45"/>
      <c r="D273" s="33"/>
      <c r="E273" s="45"/>
    </row>
    <row r="274">
      <c r="A274" s="33"/>
      <c r="B274" s="33"/>
      <c r="C274" s="45"/>
      <c r="D274" s="33"/>
      <c r="E274" s="45"/>
    </row>
    <row r="275">
      <c r="A275" s="33"/>
      <c r="B275" s="33"/>
      <c r="C275" s="45"/>
      <c r="D275" s="33"/>
      <c r="E275" s="45"/>
    </row>
    <row r="276">
      <c r="A276" s="33"/>
      <c r="B276" s="33"/>
      <c r="C276" s="45"/>
      <c r="D276" s="33"/>
      <c r="E276" s="45"/>
    </row>
    <row r="277">
      <c r="A277" s="33"/>
      <c r="B277" s="33"/>
      <c r="C277" s="45"/>
      <c r="D277" s="33"/>
      <c r="E277" s="45"/>
    </row>
    <row r="278">
      <c r="A278" s="33"/>
      <c r="B278" s="33"/>
      <c r="C278" s="45"/>
      <c r="D278" s="33"/>
      <c r="E278" s="45"/>
    </row>
    <row r="279">
      <c r="A279" s="33"/>
      <c r="B279" s="33"/>
      <c r="C279" s="45"/>
      <c r="D279" s="33"/>
      <c r="E279" s="45"/>
    </row>
    <row r="280">
      <c r="A280" s="33"/>
      <c r="B280" s="33"/>
      <c r="C280" s="45"/>
      <c r="D280" s="33"/>
      <c r="E280" s="45"/>
    </row>
    <row r="281">
      <c r="A281" s="33"/>
      <c r="B281" s="33"/>
      <c r="C281" s="45"/>
      <c r="D281" s="33"/>
      <c r="E281" s="45"/>
    </row>
    <row r="282">
      <c r="A282" s="33"/>
      <c r="B282" s="33"/>
      <c r="C282" s="45"/>
      <c r="D282" s="33"/>
      <c r="E282" s="45"/>
    </row>
    <row r="283">
      <c r="A283" s="33"/>
      <c r="B283" s="33"/>
      <c r="C283" s="45"/>
      <c r="D283" s="33"/>
      <c r="E283" s="45"/>
    </row>
    <row r="284">
      <c r="A284" s="33"/>
      <c r="B284" s="33"/>
      <c r="C284" s="45"/>
      <c r="D284" s="33"/>
      <c r="E284" s="45"/>
    </row>
    <row r="285">
      <c r="A285" s="33"/>
      <c r="B285" s="33"/>
      <c r="C285" s="45"/>
      <c r="D285" s="33"/>
      <c r="E285" s="45"/>
    </row>
    <row r="286">
      <c r="A286" s="33"/>
      <c r="B286" s="33"/>
      <c r="C286" s="45"/>
      <c r="D286" s="33"/>
      <c r="E286" s="45"/>
    </row>
    <row r="287">
      <c r="A287" s="33"/>
      <c r="B287" s="33"/>
      <c r="C287" s="45"/>
      <c r="D287" s="33"/>
      <c r="E287" s="45"/>
    </row>
    <row r="288">
      <c r="A288" s="33"/>
      <c r="B288" s="33"/>
      <c r="C288" s="45"/>
      <c r="D288" s="33"/>
      <c r="E288" s="45"/>
    </row>
    <row r="289">
      <c r="A289" s="33"/>
      <c r="B289" s="33"/>
      <c r="C289" s="45"/>
      <c r="D289" s="33"/>
      <c r="E289" s="45"/>
    </row>
    <row r="290">
      <c r="A290" s="33"/>
      <c r="B290" s="33"/>
      <c r="C290" s="45"/>
      <c r="D290" s="33"/>
      <c r="E290" s="45"/>
    </row>
    <row r="291">
      <c r="A291" s="33"/>
      <c r="B291" s="33"/>
      <c r="C291" s="45"/>
      <c r="D291" s="33"/>
      <c r="E291" s="45"/>
    </row>
    <row r="292">
      <c r="A292" s="33"/>
      <c r="B292" s="33"/>
      <c r="C292" s="45"/>
      <c r="D292" s="33"/>
      <c r="E292" s="45"/>
    </row>
    <row r="293">
      <c r="A293" s="33"/>
      <c r="B293" s="33"/>
      <c r="C293" s="45"/>
      <c r="D293" s="33"/>
      <c r="E293" s="45"/>
    </row>
    <row r="294">
      <c r="A294" s="33"/>
      <c r="B294" s="33"/>
      <c r="C294" s="45"/>
      <c r="D294" s="33"/>
      <c r="E294" s="45"/>
    </row>
    <row r="295">
      <c r="A295" s="33"/>
      <c r="B295" s="33"/>
      <c r="C295" s="45"/>
      <c r="D295" s="33"/>
      <c r="E295" s="45"/>
    </row>
    <row r="296">
      <c r="A296" s="33"/>
      <c r="B296" s="33"/>
      <c r="C296" s="45"/>
      <c r="D296" s="33"/>
      <c r="E296" s="45"/>
    </row>
    <row r="297">
      <c r="A297" s="33"/>
      <c r="B297" s="33"/>
      <c r="C297" s="45"/>
      <c r="D297" s="33"/>
      <c r="E297" s="45"/>
    </row>
    <row r="298">
      <c r="A298" s="33"/>
      <c r="B298" s="33"/>
      <c r="C298" s="45"/>
      <c r="D298" s="33"/>
      <c r="E298" s="45"/>
    </row>
    <row r="299">
      <c r="A299" s="33"/>
      <c r="B299" s="33"/>
      <c r="C299" s="45"/>
      <c r="D299" s="33"/>
      <c r="E299" s="45"/>
    </row>
    <row r="300">
      <c r="A300" s="33"/>
      <c r="B300" s="33"/>
      <c r="C300" s="45"/>
      <c r="D300" s="33"/>
      <c r="E300" s="45"/>
    </row>
    <row r="301">
      <c r="A301" s="33"/>
      <c r="B301" s="33"/>
      <c r="C301" s="45"/>
      <c r="D301" s="33"/>
      <c r="E301" s="45"/>
    </row>
    <row r="302">
      <c r="A302" s="33"/>
      <c r="B302" s="33"/>
      <c r="C302" s="45"/>
      <c r="D302" s="33"/>
      <c r="E302" s="45"/>
    </row>
    <row r="303">
      <c r="A303" s="33"/>
      <c r="B303" s="33"/>
      <c r="C303" s="45"/>
      <c r="D303" s="33"/>
      <c r="E303" s="45"/>
    </row>
    <row r="304">
      <c r="A304" s="33"/>
      <c r="B304" s="33"/>
      <c r="C304" s="45"/>
      <c r="D304" s="33"/>
      <c r="E304" s="45"/>
    </row>
    <row r="305">
      <c r="A305" s="33"/>
      <c r="B305" s="33"/>
      <c r="C305" s="45"/>
      <c r="D305" s="33"/>
      <c r="E305" s="45"/>
    </row>
    <row r="306">
      <c r="A306" s="33"/>
      <c r="B306" s="33"/>
      <c r="C306" s="45"/>
      <c r="D306" s="33"/>
      <c r="E306" s="45"/>
    </row>
    <row r="307">
      <c r="A307" s="33"/>
      <c r="B307" s="33"/>
      <c r="C307" s="45"/>
      <c r="D307" s="33"/>
      <c r="E307" s="45"/>
    </row>
    <row r="308">
      <c r="A308" s="33"/>
      <c r="B308" s="33"/>
      <c r="C308" s="45"/>
      <c r="D308" s="33"/>
      <c r="E308" s="45"/>
    </row>
    <row r="309">
      <c r="A309" s="33"/>
      <c r="B309" s="33"/>
      <c r="C309" s="45"/>
      <c r="D309" s="33"/>
      <c r="E309" s="45"/>
    </row>
    <row r="310">
      <c r="A310" s="33"/>
      <c r="B310" s="33"/>
      <c r="C310" s="45"/>
      <c r="D310" s="33"/>
      <c r="E310" s="45"/>
    </row>
    <row r="311">
      <c r="A311" s="33"/>
      <c r="B311" s="33"/>
      <c r="C311" s="45"/>
      <c r="D311" s="33"/>
      <c r="E311" s="45"/>
    </row>
    <row r="312">
      <c r="A312" s="33"/>
      <c r="B312" s="33"/>
      <c r="C312" s="45"/>
      <c r="D312" s="33"/>
      <c r="E312" s="45"/>
    </row>
    <row r="313">
      <c r="A313" s="33"/>
      <c r="B313" s="33"/>
      <c r="C313" s="45"/>
      <c r="D313" s="33"/>
      <c r="E313" s="45"/>
    </row>
    <row r="314">
      <c r="A314" s="33"/>
      <c r="B314" s="33"/>
      <c r="C314" s="45"/>
      <c r="D314" s="33"/>
      <c r="E314" s="45"/>
    </row>
    <row r="315">
      <c r="A315" s="33"/>
      <c r="B315" s="33"/>
      <c r="C315" s="45"/>
      <c r="D315" s="33"/>
      <c r="E315" s="45"/>
    </row>
    <row r="316">
      <c r="A316" s="33"/>
      <c r="B316" s="33"/>
      <c r="C316" s="45"/>
      <c r="D316" s="33"/>
      <c r="E316" s="45"/>
    </row>
    <row r="317">
      <c r="A317" s="33"/>
      <c r="B317" s="33"/>
      <c r="C317" s="45"/>
      <c r="D317" s="33"/>
      <c r="E317" s="45"/>
    </row>
    <row r="318">
      <c r="A318" s="33"/>
      <c r="B318" s="33"/>
      <c r="C318" s="45"/>
      <c r="D318" s="33"/>
      <c r="E318" s="45"/>
    </row>
    <row r="319">
      <c r="A319" s="33"/>
      <c r="B319" s="33"/>
      <c r="C319" s="45"/>
      <c r="D319" s="33"/>
      <c r="E319" s="45"/>
    </row>
    <row r="320">
      <c r="A320" s="33"/>
      <c r="B320" s="33"/>
      <c r="C320" s="45"/>
      <c r="D320" s="33"/>
      <c r="E320" s="45"/>
    </row>
    <row r="321">
      <c r="A321" s="33"/>
      <c r="B321" s="33"/>
      <c r="C321" s="45"/>
      <c r="D321" s="33"/>
      <c r="E321" s="45"/>
    </row>
    <row r="322">
      <c r="A322" s="33"/>
      <c r="B322" s="33"/>
      <c r="C322" s="45"/>
      <c r="D322" s="33"/>
      <c r="E322" s="45"/>
    </row>
    <row r="323">
      <c r="A323" s="33"/>
      <c r="B323" s="33"/>
      <c r="C323" s="45"/>
      <c r="D323" s="33"/>
      <c r="E323" s="45"/>
    </row>
    <row r="324">
      <c r="A324" s="33"/>
      <c r="B324" s="33"/>
      <c r="C324" s="45"/>
      <c r="D324" s="33"/>
      <c r="E324" s="45"/>
    </row>
    <row r="325">
      <c r="A325" s="33"/>
      <c r="B325" s="33"/>
      <c r="C325" s="45"/>
      <c r="D325" s="33"/>
      <c r="E325" s="45"/>
    </row>
    <row r="326">
      <c r="A326" s="33"/>
      <c r="B326" s="33"/>
      <c r="C326" s="45"/>
      <c r="D326" s="33"/>
      <c r="E326" s="45"/>
    </row>
    <row r="327">
      <c r="A327" s="33"/>
      <c r="B327" s="33"/>
      <c r="C327" s="45"/>
      <c r="D327" s="33"/>
      <c r="E327" s="45"/>
    </row>
    <row r="328">
      <c r="A328" s="33"/>
      <c r="B328" s="33"/>
      <c r="C328" s="45"/>
      <c r="D328" s="33"/>
      <c r="E328" s="45"/>
    </row>
    <row r="329">
      <c r="A329" s="33"/>
      <c r="B329" s="33"/>
      <c r="C329" s="45"/>
      <c r="D329" s="33"/>
      <c r="E329" s="45"/>
    </row>
    <row r="330">
      <c r="A330" s="33"/>
      <c r="B330" s="33"/>
      <c r="C330" s="45"/>
      <c r="D330" s="33"/>
      <c r="E330" s="45"/>
    </row>
    <row r="331">
      <c r="A331" s="33"/>
      <c r="B331" s="33"/>
      <c r="C331" s="45"/>
      <c r="D331" s="33"/>
      <c r="E331" s="45"/>
    </row>
    <row r="332">
      <c r="A332" s="33"/>
      <c r="B332" s="33"/>
      <c r="C332" s="45"/>
      <c r="D332" s="33"/>
      <c r="E332" s="45"/>
    </row>
    <row r="333">
      <c r="A333" s="33"/>
      <c r="B333" s="33"/>
      <c r="C333" s="45"/>
      <c r="D333" s="33"/>
      <c r="E333" s="45"/>
    </row>
    <row r="334">
      <c r="C334" s="31"/>
      <c r="E334" s="31"/>
    </row>
    <row r="335">
      <c r="C335" s="31"/>
      <c r="E335" s="31"/>
    </row>
    <row r="336">
      <c r="C336" s="31"/>
      <c r="E336" s="31"/>
    </row>
    <row r="337">
      <c r="C337" s="31"/>
      <c r="E337" s="31"/>
    </row>
    <row r="338">
      <c r="C338" s="31"/>
      <c r="E338" s="31"/>
    </row>
    <row r="339">
      <c r="C339" s="31"/>
      <c r="E339" s="31"/>
    </row>
    <row r="340">
      <c r="C340" s="31"/>
      <c r="E340" s="31"/>
    </row>
    <row r="341">
      <c r="C341" s="31"/>
      <c r="E341" s="31"/>
    </row>
    <row r="342">
      <c r="C342" s="31"/>
      <c r="E342" s="31"/>
    </row>
    <row r="343">
      <c r="C343" s="31"/>
      <c r="E343" s="31"/>
    </row>
    <row r="344">
      <c r="C344" s="31"/>
      <c r="E344" s="31"/>
    </row>
    <row r="345">
      <c r="C345" s="31"/>
      <c r="E345" s="31"/>
    </row>
    <row r="346">
      <c r="C346" s="31"/>
      <c r="E346" s="31"/>
    </row>
    <row r="347">
      <c r="C347" s="31"/>
      <c r="E347" s="31"/>
    </row>
    <row r="348">
      <c r="C348" s="31"/>
      <c r="E348" s="31"/>
    </row>
    <row r="349">
      <c r="C349" s="31"/>
      <c r="E349" s="31"/>
    </row>
    <row r="350">
      <c r="C350" s="31"/>
      <c r="E350" s="31"/>
    </row>
    <row r="351">
      <c r="C351" s="31"/>
      <c r="E351" s="31"/>
    </row>
    <row r="352">
      <c r="C352" s="31"/>
      <c r="E352" s="31"/>
    </row>
    <row r="353">
      <c r="C353" s="31"/>
      <c r="E353" s="31"/>
    </row>
    <row r="354">
      <c r="C354" s="31"/>
      <c r="E354" s="31"/>
    </row>
    <row r="355">
      <c r="C355" s="31"/>
      <c r="E355" s="31"/>
    </row>
    <row r="356">
      <c r="C356" s="31"/>
      <c r="E356" s="31"/>
    </row>
    <row r="357">
      <c r="C357" s="31"/>
      <c r="E357" s="31"/>
    </row>
    <row r="358">
      <c r="C358" s="31"/>
      <c r="E358" s="31"/>
    </row>
    <row r="359">
      <c r="C359" s="31"/>
      <c r="E359" s="31"/>
    </row>
    <row r="360">
      <c r="C360" s="31"/>
      <c r="E360" s="31"/>
    </row>
    <row r="361">
      <c r="C361" s="31"/>
      <c r="E361" s="31"/>
    </row>
    <row r="362">
      <c r="C362" s="31"/>
      <c r="E362" s="31"/>
    </row>
    <row r="363">
      <c r="C363" s="31"/>
      <c r="E363" s="31"/>
    </row>
    <row r="364">
      <c r="C364" s="31"/>
      <c r="E364" s="31"/>
    </row>
    <row r="365">
      <c r="C365" s="31"/>
      <c r="E365" s="31"/>
    </row>
    <row r="366">
      <c r="C366" s="31"/>
      <c r="E366" s="31"/>
    </row>
    <row r="367">
      <c r="C367" s="31"/>
      <c r="E367" s="31"/>
    </row>
    <row r="368">
      <c r="C368" s="31"/>
      <c r="E368" s="31"/>
    </row>
    <row r="369">
      <c r="C369" s="31"/>
      <c r="E369" s="31"/>
    </row>
    <row r="370">
      <c r="C370" s="31"/>
      <c r="E370" s="31"/>
    </row>
    <row r="371">
      <c r="C371" s="31"/>
      <c r="E371" s="31"/>
    </row>
    <row r="372">
      <c r="C372" s="31"/>
      <c r="E372" s="31"/>
    </row>
    <row r="373">
      <c r="C373" s="31"/>
      <c r="E373" s="31"/>
    </row>
    <row r="374">
      <c r="C374" s="31"/>
      <c r="E374" s="31"/>
    </row>
    <row r="375">
      <c r="C375" s="31"/>
      <c r="E375" s="31"/>
    </row>
    <row r="376">
      <c r="C376" s="31"/>
      <c r="E376" s="31"/>
    </row>
    <row r="377">
      <c r="C377" s="31"/>
      <c r="E377" s="31"/>
    </row>
    <row r="378">
      <c r="C378" s="31"/>
      <c r="E378" s="31"/>
    </row>
    <row r="379">
      <c r="C379" s="31"/>
      <c r="E379" s="31"/>
    </row>
    <row r="380">
      <c r="C380" s="31"/>
      <c r="E380" s="31"/>
    </row>
    <row r="381">
      <c r="C381" s="31"/>
      <c r="E381" s="31"/>
    </row>
    <row r="382">
      <c r="C382" s="31"/>
      <c r="E382" s="31"/>
    </row>
    <row r="383">
      <c r="C383" s="31"/>
      <c r="E383" s="31"/>
    </row>
    <row r="384">
      <c r="C384" s="31"/>
      <c r="E384" s="31"/>
    </row>
    <row r="385">
      <c r="C385" s="31"/>
      <c r="E385" s="31"/>
    </row>
    <row r="386">
      <c r="C386" s="31"/>
      <c r="E386" s="31"/>
    </row>
    <row r="387">
      <c r="C387" s="31"/>
      <c r="E387" s="31"/>
    </row>
    <row r="388">
      <c r="C388" s="31"/>
      <c r="E388" s="31"/>
    </row>
    <row r="389">
      <c r="C389" s="31"/>
      <c r="E389" s="31"/>
    </row>
    <row r="390">
      <c r="C390" s="31"/>
      <c r="E390" s="31"/>
    </row>
    <row r="391">
      <c r="C391" s="31"/>
      <c r="E391" s="31"/>
    </row>
    <row r="392">
      <c r="C392" s="31"/>
      <c r="E392" s="31"/>
    </row>
    <row r="393">
      <c r="C393" s="31"/>
      <c r="E393" s="31"/>
    </row>
    <row r="394">
      <c r="C394" s="31"/>
      <c r="E394" s="31"/>
    </row>
    <row r="395">
      <c r="C395" s="31"/>
      <c r="E395" s="31"/>
    </row>
    <row r="396">
      <c r="C396" s="31"/>
      <c r="E396" s="31"/>
    </row>
    <row r="397">
      <c r="C397" s="31"/>
      <c r="E397" s="31"/>
    </row>
    <row r="398">
      <c r="C398" s="31"/>
      <c r="E398" s="31"/>
    </row>
    <row r="399">
      <c r="C399" s="31"/>
      <c r="E399" s="31"/>
    </row>
    <row r="400">
      <c r="C400" s="31"/>
      <c r="E400" s="31"/>
    </row>
    <row r="401">
      <c r="C401" s="31"/>
      <c r="E401" s="31"/>
    </row>
    <row r="402">
      <c r="C402" s="31"/>
      <c r="E402" s="31"/>
    </row>
    <row r="403">
      <c r="C403" s="31"/>
      <c r="E403" s="31"/>
    </row>
    <row r="404">
      <c r="C404" s="31"/>
      <c r="E404" s="31"/>
    </row>
    <row r="405">
      <c r="C405" s="31"/>
      <c r="E405" s="31"/>
    </row>
    <row r="406">
      <c r="C406" s="31"/>
      <c r="E406" s="31"/>
    </row>
    <row r="407">
      <c r="C407" s="31"/>
      <c r="E407" s="31"/>
    </row>
    <row r="408">
      <c r="C408" s="31"/>
      <c r="E408" s="31"/>
    </row>
    <row r="409">
      <c r="C409" s="31"/>
      <c r="E409" s="31"/>
    </row>
    <row r="410">
      <c r="C410" s="31"/>
      <c r="E410" s="31"/>
    </row>
    <row r="411">
      <c r="C411" s="31"/>
      <c r="E411" s="31"/>
    </row>
    <row r="412">
      <c r="C412" s="31"/>
      <c r="E412" s="31"/>
    </row>
    <row r="413">
      <c r="C413" s="31"/>
      <c r="E413" s="31"/>
    </row>
    <row r="414">
      <c r="C414" s="31"/>
      <c r="E414" s="31"/>
    </row>
    <row r="415">
      <c r="C415" s="31"/>
      <c r="E415" s="31"/>
    </row>
    <row r="416">
      <c r="C416" s="31"/>
      <c r="E416" s="31"/>
    </row>
    <row r="417">
      <c r="C417" s="31"/>
      <c r="E417" s="31"/>
    </row>
    <row r="418">
      <c r="C418" s="31"/>
      <c r="E418" s="31"/>
    </row>
    <row r="419">
      <c r="C419" s="31"/>
      <c r="E419" s="31"/>
    </row>
    <row r="420">
      <c r="C420" s="31"/>
      <c r="E420" s="31"/>
    </row>
    <row r="421">
      <c r="C421" s="31"/>
      <c r="E421" s="31"/>
    </row>
    <row r="422">
      <c r="C422" s="31"/>
      <c r="E422" s="31"/>
    </row>
    <row r="423">
      <c r="C423" s="31"/>
      <c r="E423" s="31"/>
    </row>
    <row r="424">
      <c r="C424" s="31"/>
      <c r="E424" s="31"/>
    </row>
    <row r="425">
      <c r="C425" s="31"/>
      <c r="E425" s="31"/>
    </row>
    <row r="426">
      <c r="C426" s="31"/>
      <c r="E426" s="31"/>
    </row>
    <row r="427">
      <c r="C427" s="31"/>
      <c r="E427" s="31"/>
    </row>
    <row r="428">
      <c r="C428" s="31"/>
      <c r="E428" s="31"/>
    </row>
    <row r="429">
      <c r="C429" s="31"/>
      <c r="E429" s="31"/>
    </row>
    <row r="430">
      <c r="C430" s="31"/>
      <c r="E430" s="31"/>
    </row>
    <row r="431">
      <c r="C431" s="31"/>
      <c r="E431" s="31"/>
    </row>
    <row r="432">
      <c r="C432" s="31"/>
      <c r="E432" s="31"/>
    </row>
    <row r="433">
      <c r="C433" s="31"/>
      <c r="E433" s="31"/>
    </row>
    <row r="434">
      <c r="C434" s="31"/>
      <c r="E434" s="31"/>
    </row>
    <row r="435">
      <c r="C435" s="31"/>
      <c r="E435" s="31"/>
    </row>
    <row r="436">
      <c r="C436" s="31"/>
      <c r="E436" s="31"/>
    </row>
    <row r="437">
      <c r="C437" s="31"/>
      <c r="E437" s="31"/>
    </row>
    <row r="438">
      <c r="C438" s="31"/>
      <c r="E438" s="31"/>
    </row>
    <row r="439">
      <c r="C439" s="31"/>
      <c r="E439" s="31"/>
    </row>
    <row r="440">
      <c r="C440" s="31"/>
      <c r="E440" s="31"/>
    </row>
    <row r="441">
      <c r="C441" s="31"/>
      <c r="E441" s="31"/>
    </row>
    <row r="442">
      <c r="C442" s="31"/>
      <c r="E442" s="31"/>
    </row>
    <row r="443">
      <c r="C443" s="31"/>
      <c r="E443" s="31"/>
    </row>
    <row r="444">
      <c r="C444" s="31"/>
      <c r="E444" s="31"/>
    </row>
    <row r="445">
      <c r="C445" s="31"/>
      <c r="E445" s="31"/>
    </row>
    <row r="446">
      <c r="C446" s="31"/>
      <c r="E446" s="31"/>
    </row>
    <row r="447">
      <c r="C447" s="31"/>
      <c r="E447" s="31"/>
    </row>
    <row r="448">
      <c r="C448" s="31"/>
      <c r="E448" s="31"/>
    </row>
    <row r="449">
      <c r="C449" s="31"/>
      <c r="E449" s="31"/>
    </row>
    <row r="450">
      <c r="C450" s="31"/>
      <c r="E450" s="31"/>
    </row>
    <row r="451">
      <c r="C451" s="31"/>
      <c r="E451" s="31"/>
    </row>
    <row r="452">
      <c r="C452" s="31"/>
      <c r="E452" s="31"/>
    </row>
    <row r="453">
      <c r="C453" s="31"/>
      <c r="E453" s="31"/>
    </row>
    <row r="454">
      <c r="C454" s="31"/>
      <c r="E454" s="31"/>
    </row>
    <row r="455">
      <c r="C455" s="31"/>
      <c r="E455" s="31"/>
    </row>
    <row r="456">
      <c r="C456" s="31"/>
      <c r="E456" s="31"/>
    </row>
    <row r="457">
      <c r="C457" s="31"/>
      <c r="E457" s="31"/>
    </row>
    <row r="458">
      <c r="C458" s="31"/>
      <c r="E458" s="31"/>
    </row>
    <row r="459">
      <c r="C459" s="31"/>
      <c r="E459" s="31"/>
    </row>
    <row r="460">
      <c r="C460" s="31"/>
      <c r="E460" s="31"/>
    </row>
    <row r="461">
      <c r="C461" s="31"/>
      <c r="E461" s="31"/>
    </row>
    <row r="462">
      <c r="C462" s="31"/>
      <c r="E462" s="31"/>
    </row>
    <row r="463">
      <c r="C463" s="31"/>
      <c r="E463" s="31"/>
    </row>
    <row r="464">
      <c r="C464" s="31"/>
      <c r="E464" s="31"/>
    </row>
    <row r="465">
      <c r="C465" s="31"/>
      <c r="E465" s="31"/>
    </row>
    <row r="466">
      <c r="C466" s="31"/>
      <c r="E466" s="31"/>
    </row>
    <row r="467">
      <c r="C467" s="31"/>
      <c r="E467" s="31"/>
    </row>
    <row r="468">
      <c r="C468" s="31"/>
      <c r="E468" s="31"/>
    </row>
    <row r="469">
      <c r="C469" s="31"/>
      <c r="E469" s="31"/>
    </row>
    <row r="470">
      <c r="C470" s="31"/>
      <c r="E470" s="31"/>
    </row>
    <row r="471">
      <c r="C471" s="31"/>
      <c r="E471" s="31"/>
    </row>
    <row r="472">
      <c r="C472" s="31"/>
      <c r="E472" s="31"/>
    </row>
    <row r="473">
      <c r="C473" s="31"/>
      <c r="E473" s="31"/>
    </row>
    <row r="474">
      <c r="C474" s="31"/>
      <c r="E474" s="31"/>
    </row>
    <row r="475">
      <c r="C475" s="31"/>
      <c r="E475" s="31"/>
    </row>
    <row r="476">
      <c r="C476" s="31"/>
      <c r="E476" s="31"/>
    </row>
    <row r="477">
      <c r="C477" s="31"/>
      <c r="E477" s="31"/>
    </row>
    <row r="478">
      <c r="C478" s="31"/>
      <c r="E478" s="31"/>
    </row>
    <row r="479">
      <c r="C479" s="31"/>
      <c r="E479" s="31"/>
    </row>
    <row r="480">
      <c r="C480" s="31"/>
      <c r="E480" s="31"/>
    </row>
    <row r="481">
      <c r="C481" s="31"/>
      <c r="E481" s="31"/>
    </row>
    <row r="482">
      <c r="C482" s="31"/>
      <c r="E482" s="31"/>
    </row>
    <row r="483">
      <c r="C483" s="31"/>
      <c r="E483" s="31"/>
    </row>
    <row r="484">
      <c r="C484" s="31"/>
      <c r="E484" s="31"/>
    </row>
    <row r="485">
      <c r="C485" s="31"/>
      <c r="E485" s="31"/>
    </row>
    <row r="486">
      <c r="C486" s="31"/>
      <c r="E486" s="31"/>
    </row>
    <row r="487">
      <c r="C487" s="31"/>
      <c r="E487" s="31"/>
    </row>
    <row r="488">
      <c r="C488" s="31"/>
      <c r="E488" s="31"/>
    </row>
    <row r="489">
      <c r="C489" s="31"/>
      <c r="E489" s="31"/>
    </row>
    <row r="490">
      <c r="C490" s="31"/>
      <c r="E490" s="31"/>
    </row>
    <row r="491">
      <c r="C491" s="31"/>
      <c r="E491" s="31"/>
    </row>
    <row r="492">
      <c r="C492" s="31"/>
      <c r="E492" s="31"/>
    </row>
    <row r="493">
      <c r="C493" s="31"/>
      <c r="E493" s="31"/>
    </row>
    <row r="494">
      <c r="C494" s="31"/>
      <c r="E494" s="31"/>
    </row>
    <row r="495">
      <c r="C495" s="31"/>
      <c r="E495" s="31"/>
    </row>
    <row r="496">
      <c r="C496" s="31"/>
      <c r="E496" s="31"/>
    </row>
    <row r="497">
      <c r="C497" s="31"/>
      <c r="E497" s="31"/>
    </row>
    <row r="498">
      <c r="C498" s="31"/>
      <c r="E498" s="31"/>
    </row>
    <row r="499">
      <c r="C499" s="31"/>
      <c r="E499" s="31"/>
    </row>
    <row r="500">
      <c r="C500" s="31"/>
      <c r="E500" s="31"/>
    </row>
    <row r="501">
      <c r="C501" s="31"/>
      <c r="E501" s="31"/>
    </row>
    <row r="502">
      <c r="C502" s="31"/>
      <c r="E502" s="31"/>
    </row>
    <row r="503">
      <c r="C503" s="31"/>
      <c r="E503" s="31"/>
    </row>
    <row r="504">
      <c r="C504" s="31"/>
      <c r="E504" s="31"/>
    </row>
    <row r="505">
      <c r="C505" s="31"/>
      <c r="E505" s="31"/>
    </row>
    <row r="506">
      <c r="C506" s="31"/>
      <c r="E506" s="31"/>
    </row>
    <row r="507">
      <c r="C507" s="31"/>
      <c r="E507" s="31"/>
    </row>
    <row r="508">
      <c r="C508" s="31"/>
      <c r="E508" s="31"/>
    </row>
    <row r="509">
      <c r="C509" s="31"/>
      <c r="E509" s="31"/>
    </row>
    <row r="510">
      <c r="C510" s="31"/>
      <c r="E510" s="31"/>
    </row>
    <row r="511">
      <c r="C511" s="31"/>
      <c r="E511" s="31"/>
    </row>
    <row r="512">
      <c r="C512" s="31"/>
      <c r="E512" s="31"/>
    </row>
    <row r="513">
      <c r="C513" s="31"/>
      <c r="E513" s="31"/>
    </row>
    <row r="514">
      <c r="C514" s="31"/>
      <c r="E514" s="31"/>
    </row>
    <row r="515">
      <c r="C515" s="31"/>
      <c r="E515" s="31"/>
    </row>
    <row r="516">
      <c r="C516" s="31"/>
      <c r="E516" s="31"/>
    </row>
    <row r="517">
      <c r="C517" s="31"/>
      <c r="E517" s="31"/>
    </row>
    <row r="518">
      <c r="C518" s="31"/>
      <c r="E518" s="31"/>
    </row>
    <row r="519">
      <c r="C519" s="31"/>
      <c r="E519" s="31"/>
    </row>
    <row r="520">
      <c r="C520" s="31"/>
      <c r="E520" s="31"/>
    </row>
    <row r="521">
      <c r="C521" s="31"/>
      <c r="E521" s="31"/>
    </row>
    <row r="522">
      <c r="C522" s="31"/>
      <c r="E522" s="31"/>
    </row>
    <row r="523">
      <c r="C523" s="31"/>
      <c r="E523" s="31"/>
    </row>
    <row r="524">
      <c r="C524" s="31"/>
      <c r="E524" s="31"/>
    </row>
    <row r="525">
      <c r="C525" s="31"/>
      <c r="E525" s="31"/>
    </row>
    <row r="526">
      <c r="C526" s="31"/>
      <c r="E526" s="31"/>
    </row>
    <row r="527">
      <c r="C527" s="31"/>
      <c r="E527" s="31"/>
    </row>
    <row r="528">
      <c r="C528" s="31"/>
      <c r="E528" s="31"/>
    </row>
    <row r="529">
      <c r="C529" s="31"/>
      <c r="E529" s="31"/>
    </row>
    <row r="530">
      <c r="C530" s="31"/>
      <c r="E530" s="31"/>
    </row>
    <row r="531">
      <c r="C531" s="31"/>
      <c r="E531" s="31"/>
    </row>
    <row r="532">
      <c r="C532" s="31"/>
      <c r="E532" s="31"/>
    </row>
    <row r="533">
      <c r="C533" s="31"/>
      <c r="E533" s="31"/>
    </row>
    <row r="534">
      <c r="C534" s="31"/>
      <c r="E534" s="31"/>
    </row>
    <row r="535">
      <c r="C535" s="31"/>
      <c r="E535" s="31"/>
    </row>
    <row r="536">
      <c r="C536" s="31"/>
      <c r="E536" s="31"/>
    </row>
    <row r="537">
      <c r="C537" s="31"/>
      <c r="E537" s="31"/>
    </row>
    <row r="538">
      <c r="C538" s="31"/>
      <c r="E538" s="31"/>
    </row>
    <row r="539">
      <c r="C539" s="31"/>
      <c r="E539" s="31"/>
    </row>
    <row r="540">
      <c r="C540" s="31"/>
      <c r="E540" s="31"/>
    </row>
    <row r="541">
      <c r="C541" s="31"/>
      <c r="E541" s="31"/>
    </row>
    <row r="542">
      <c r="C542" s="31"/>
      <c r="E542" s="31"/>
    </row>
    <row r="543">
      <c r="C543" s="31"/>
      <c r="E543" s="31"/>
    </row>
    <row r="544">
      <c r="C544" s="31"/>
      <c r="E544" s="31"/>
    </row>
    <row r="545">
      <c r="C545" s="31"/>
      <c r="E545" s="31"/>
    </row>
    <row r="546">
      <c r="C546" s="31"/>
      <c r="E546" s="31"/>
    </row>
    <row r="547">
      <c r="C547" s="31"/>
      <c r="E547" s="31"/>
    </row>
    <row r="548">
      <c r="C548" s="31"/>
      <c r="E548" s="31"/>
    </row>
    <row r="549">
      <c r="C549" s="31"/>
      <c r="E549" s="31"/>
    </row>
    <row r="550">
      <c r="C550" s="31"/>
      <c r="E550" s="31"/>
    </row>
    <row r="551">
      <c r="C551" s="31"/>
      <c r="E551" s="31"/>
    </row>
    <row r="552">
      <c r="C552" s="31"/>
      <c r="E552" s="31"/>
    </row>
    <row r="553">
      <c r="C553" s="31"/>
      <c r="E553" s="31"/>
    </row>
    <row r="554">
      <c r="C554" s="31"/>
      <c r="E554" s="31"/>
    </row>
    <row r="555">
      <c r="C555" s="31"/>
      <c r="E555" s="31"/>
    </row>
    <row r="556">
      <c r="C556" s="31"/>
      <c r="E556" s="31"/>
    </row>
    <row r="557">
      <c r="C557" s="31"/>
      <c r="E557" s="31"/>
    </row>
    <row r="558">
      <c r="C558" s="31"/>
      <c r="E558" s="31"/>
    </row>
    <row r="559">
      <c r="C559" s="31"/>
      <c r="E559" s="31"/>
    </row>
    <row r="560">
      <c r="C560" s="31"/>
      <c r="E560" s="31"/>
    </row>
    <row r="561">
      <c r="C561" s="31"/>
      <c r="E561" s="31"/>
    </row>
    <row r="562">
      <c r="C562" s="31"/>
      <c r="E562" s="31"/>
    </row>
    <row r="563">
      <c r="C563" s="31"/>
      <c r="E563" s="31"/>
    </row>
    <row r="564">
      <c r="C564" s="31"/>
      <c r="E564" s="31"/>
    </row>
    <row r="565">
      <c r="C565" s="31"/>
      <c r="E565" s="31"/>
    </row>
    <row r="566">
      <c r="C566" s="31"/>
      <c r="E566" s="31"/>
    </row>
    <row r="567">
      <c r="C567" s="31"/>
      <c r="E567" s="31"/>
    </row>
    <row r="568">
      <c r="C568" s="31"/>
      <c r="E568" s="31"/>
    </row>
    <row r="569">
      <c r="C569" s="31"/>
      <c r="E569" s="31"/>
    </row>
    <row r="570">
      <c r="C570" s="31"/>
      <c r="E570" s="31"/>
    </row>
    <row r="571">
      <c r="C571" s="31"/>
      <c r="E571" s="31"/>
    </row>
    <row r="572">
      <c r="C572" s="31"/>
      <c r="E572" s="31"/>
    </row>
    <row r="573">
      <c r="C573" s="31"/>
      <c r="E573" s="31"/>
    </row>
    <row r="574">
      <c r="C574" s="31"/>
      <c r="E574" s="31"/>
    </row>
    <row r="575">
      <c r="C575" s="31"/>
      <c r="E575" s="31"/>
    </row>
    <row r="576">
      <c r="C576" s="31"/>
      <c r="E576" s="31"/>
    </row>
    <row r="577">
      <c r="C577" s="31"/>
      <c r="E577" s="31"/>
    </row>
    <row r="578">
      <c r="C578" s="31"/>
      <c r="E578" s="31"/>
    </row>
    <row r="579">
      <c r="C579" s="31"/>
      <c r="E579" s="31"/>
    </row>
    <row r="580">
      <c r="C580" s="31"/>
      <c r="E580" s="31"/>
    </row>
    <row r="581">
      <c r="C581" s="31"/>
      <c r="E581" s="31"/>
    </row>
    <row r="582">
      <c r="C582" s="31"/>
      <c r="E582" s="31"/>
    </row>
    <row r="583">
      <c r="C583" s="31"/>
      <c r="E583" s="31"/>
    </row>
    <row r="584">
      <c r="C584" s="31"/>
      <c r="E584" s="31"/>
    </row>
    <row r="585">
      <c r="C585" s="31"/>
      <c r="E585" s="31"/>
    </row>
    <row r="586">
      <c r="C586" s="31"/>
      <c r="E586" s="31"/>
    </row>
    <row r="587">
      <c r="C587" s="31"/>
      <c r="E587" s="31"/>
    </row>
    <row r="588">
      <c r="C588" s="31"/>
      <c r="E588" s="31"/>
    </row>
    <row r="589">
      <c r="C589" s="31"/>
      <c r="E589" s="31"/>
    </row>
    <row r="590">
      <c r="C590" s="31"/>
      <c r="E590" s="31"/>
    </row>
    <row r="591">
      <c r="C591" s="31"/>
      <c r="E591" s="31"/>
    </row>
    <row r="592">
      <c r="C592" s="31"/>
      <c r="E592" s="31"/>
    </row>
    <row r="593">
      <c r="C593" s="31"/>
      <c r="E593" s="31"/>
    </row>
    <row r="594">
      <c r="C594" s="31"/>
      <c r="E594" s="31"/>
    </row>
    <row r="595">
      <c r="C595" s="31"/>
      <c r="E595" s="31"/>
    </row>
    <row r="596">
      <c r="C596" s="31"/>
      <c r="E596" s="31"/>
    </row>
    <row r="597">
      <c r="C597" s="31"/>
      <c r="E597" s="31"/>
    </row>
    <row r="598">
      <c r="C598" s="31"/>
      <c r="E598" s="31"/>
    </row>
    <row r="599">
      <c r="C599" s="31"/>
      <c r="E599" s="31"/>
    </row>
    <row r="600">
      <c r="C600" s="31"/>
      <c r="E600" s="31"/>
    </row>
    <row r="601">
      <c r="C601" s="31"/>
      <c r="E601" s="31"/>
    </row>
    <row r="602">
      <c r="C602" s="31"/>
      <c r="E602" s="31"/>
    </row>
    <row r="603">
      <c r="C603" s="31"/>
      <c r="E603" s="31"/>
    </row>
    <row r="604">
      <c r="C604" s="31"/>
      <c r="E604" s="31"/>
    </row>
    <row r="605">
      <c r="C605" s="31"/>
      <c r="E605" s="31"/>
    </row>
    <row r="606">
      <c r="C606" s="31"/>
      <c r="E606" s="31"/>
    </row>
    <row r="607">
      <c r="C607" s="31"/>
      <c r="E607" s="31"/>
    </row>
    <row r="608">
      <c r="C608" s="31"/>
      <c r="E608" s="31"/>
    </row>
    <row r="609">
      <c r="C609" s="31"/>
      <c r="E609" s="31"/>
    </row>
    <row r="610">
      <c r="C610" s="31"/>
      <c r="E610" s="31"/>
    </row>
    <row r="611">
      <c r="C611" s="31"/>
      <c r="E611" s="31"/>
    </row>
    <row r="612">
      <c r="C612" s="31"/>
      <c r="E612" s="31"/>
    </row>
    <row r="613">
      <c r="C613" s="31"/>
      <c r="E613" s="31"/>
    </row>
    <row r="614">
      <c r="C614" s="31"/>
      <c r="E614" s="31"/>
    </row>
    <row r="615">
      <c r="C615" s="31"/>
      <c r="E615" s="31"/>
    </row>
    <row r="616">
      <c r="C616" s="31"/>
      <c r="E616" s="31"/>
    </row>
    <row r="617">
      <c r="C617" s="31"/>
      <c r="E617" s="31"/>
    </row>
    <row r="618">
      <c r="C618" s="31"/>
      <c r="E618" s="31"/>
    </row>
    <row r="619">
      <c r="C619" s="31"/>
      <c r="E619" s="31"/>
    </row>
    <row r="620">
      <c r="C620" s="31"/>
      <c r="E620" s="31"/>
    </row>
    <row r="621">
      <c r="C621" s="31"/>
      <c r="E621" s="31"/>
    </row>
    <row r="622">
      <c r="C622" s="31"/>
      <c r="E622" s="31"/>
    </row>
    <row r="623">
      <c r="C623" s="31"/>
      <c r="E623" s="31"/>
    </row>
    <row r="624">
      <c r="C624" s="31"/>
      <c r="E624" s="31"/>
    </row>
    <row r="625">
      <c r="C625" s="31"/>
      <c r="E625" s="31"/>
    </row>
    <row r="626">
      <c r="C626" s="31"/>
      <c r="E626" s="31"/>
    </row>
    <row r="627">
      <c r="C627" s="31"/>
      <c r="E627" s="31"/>
    </row>
    <row r="628">
      <c r="C628" s="31"/>
      <c r="E628" s="31"/>
    </row>
    <row r="629">
      <c r="C629" s="31"/>
      <c r="E629" s="31"/>
    </row>
    <row r="630">
      <c r="C630" s="31"/>
      <c r="E630" s="31"/>
    </row>
    <row r="631">
      <c r="C631" s="31"/>
      <c r="E631" s="31"/>
    </row>
    <row r="632">
      <c r="C632" s="31"/>
      <c r="E632" s="31"/>
    </row>
    <row r="633">
      <c r="C633" s="31"/>
      <c r="E633" s="31"/>
    </row>
    <row r="634">
      <c r="C634" s="31"/>
      <c r="E634" s="31"/>
    </row>
    <row r="635">
      <c r="C635" s="31"/>
      <c r="E635" s="31"/>
    </row>
    <row r="636">
      <c r="C636" s="31"/>
      <c r="E636" s="31"/>
    </row>
    <row r="637">
      <c r="C637" s="31"/>
      <c r="E637" s="31"/>
    </row>
    <row r="638">
      <c r="C638" s="31"/>
      <c r="E638" s="31"/>
    </row>
    <row r="639">
      <c r="C639" s="31"/>
      <c r="E639" s="31"/>
    </row>
    <row r="640">
      <c r="C640" s="31"/>
      <c r="E640" s="31"/>
    </row>
    <row r="641">
      <c r="C641" s="31"/>
      <c r="E641" s="31"/>
    </row>
    <row r="642">
      <c r="C642" s="31"/>
      <c r="E642" s="31"/>
    </row>
    <row r="643">
      <c r="C643" s="31"/>
      <c r="E643" s="31"/>
    </row>
    <row r="644">
      <c r="C644" s="31"/>
      <c r="E644" s="31"/>
    </row>
    <row r="645">
      <c r="C645" s="31"/>
      <c r="E645" s="31"/>
    </row>
    <row r="646">
      <c r="C646" s="31"/>
      <c r="E646" s="31"/>
    </row>
    <row r="647">
      <c r="C647" s="31"/>
      <c r="E647" s="31"/>
    </row>
    <row r="648">
      <c r="C648" s="31"/>
      <c r="E648" s="31"/>
    </row>
    <row r="649">
      <c r="C649" s="31"/>
      <c r="E649" s="31"/>
    </row>
    <row r="650">
      <c r="C650" s="31"/>
      <c r="E650" s="31"/>
    </row>
    <row r="651">
      <c r="C651" s="31"/>
      <c r="E651" s="31"/>
    </row>
    <row r="652">
      <c r="C652" s="31"/>
      <c r="E652" s="31"/>
    </row>
    <row r="653">
      <c r="C653" s="31"/>
      <c r="E653" s="31"/>
    </row>
    <row r="654">
      <c r="C654" s="31"/>
      <c r="E654" s="31"/>
    </row>
    <row r="655">
      <c r="C655" s="31"/>
      <c r="E655" s="31"/>
    </row>
    <row r="656">
      <c r="C656" s="31"/>
      <c r="E656" s="31"/>
    </row>
    <row r="657">
      <c r="C657" s="31"/>
      <c r="E657" s="31"/>
    </row>
    <row r="658">
      <c r="C658" s="31"/>
      <c r="E658" s="31"/>
    </row>
    <row r="659">
      <c r="C659" s="31"/>
      <c r="E659" s="31"/>
    </row>
    <row r="660">
      <c r="C660" s="31"/>
      <c r="E660" s="31"/>
    </row>
    <row r="661">
      <c r="C661" s="31"/>
      <c r="E661" s="31"/>
    </row>
    <row r="662">
      <c r="C662" s="31"/>
      <c r="E662" s="31"/>
    </row>
    <row r="663">
      <c r="C663" s="31"/>
      <c r="E663" s="31"/>
    </row>
    <row r="664">
      <c r="C664" s="31"/>
      <c r="E664" s="31"/>
    </row>
    <row r="665">
      <c r="C665" s="31"/>
      <c r="E665" s="31"/>
    </row>
    <row r="666">
      <c r="C666" s="31"/>
      <c r="E666" s="31"/>
    </row>
    <row r="667">
      <c r="C667" s="31"/>
      <c r="E667" s="31"/>
    </row>
    <row r="668">
      <c r="C668" s="31"/>
      <c r="E668" s="31"/>
    </row>
    <row r="669">
      <c r="C669" s="31"/>
      <c r="E669" s="31"/>
    </row>
    <row r="670">
      <c r="C670" s="31"/>
      <c r="E670" s="31"/>
    </row>
    <row r="671">
      <c r="C671" s="31"/>
      <c r="E671" s="31"/>
    </row>
    <row r="672">
      <c r="C672" s="31"/>
      <c r="E672" s="31"/>
    </row>
    <row r="673">
      <c r="C673" s="31"/>
      <c r="E673" s="31"/>
    </row>
    <row r="674">
      <c r="C674" s="31"/>
      <c r="E674" s="31"/>
    </row>
    <row r="675">
      <c r="C675" s="31"/>
      <c r="E675" s="31"/>
    </row>
    <row r="676">
      <c r="C676" s="31"/>
      <c r="E676" s="31"/>
    </row>
    <row r="677">
      <c r="C677" s="31"/>
      <c r="E677" s="31"/>
    </row>
    <row r="678">
      <c r="C678" s="31"/>
      <c r="E678" s="31"/>
    </row>
    <row r="679">
      <c r="C679" s="31"/>
      <c r="E679" s="31"/>
    </row>
    <row r="680">
      <c r="C680" s="31"/>
      <c r="E680" s="31"/>
    </row>
    <row r="681">
      <c r="C681" s="31"/>
      <c r="E681" s="31"/>
    </row>
    <row r="682">
      <c r="C682" s="31"/>
      <c r="E682" s="31"/>
    </row>
    <row r="683">
      <c r="C683" s="31"/>
      <c r="E683" s="31"/>
    </row>
    <row r="684">
      <c r="C684" s="31"/>
      <c r="E684" s="31"/>
    </row>
    <row r="685">
      <c r="C685" s="31"/>
      <c r="E685" s="31"/>
    </row>
    <row r="686">
      <c r="C686" s="31"/>
      <c r="E686" s="31"/>
    </row>
    <row r="687">
      <c r="C687" s="31"/>
      <c r="E687" s="31"/>
    </row>
    <row r="688">
      <c r="C688" s="31"/>
      <c r="E688" s="31"/>
    </row>
    <row r="689">
      <c r="C689" s="31"/>
      <c r="E689" s="31"/>
    </row>
    <row r="690">
      <c r="C690" s="31"/>
      <c r="E690" s="31"/>
    </row>
    <row r="691">
      <c r="C691" s="31"/>
      <c r="E691" s="31"/>
    </row>
    <row r="692">
      <c r="C692" s="31"/>
      <c r="E692" s="31"/>
    </row>
    <row r="693">
      <c r="C693" s="31"/>
      <c r="E693" s="31"/>
    </row>
    <row r="694">
      <c r="C694" s="31"/>
      <c r="E694" s="31"/>
    </row>
    <row r="695">
      <c r="C695" s="31"/>
      <c r="E695" s="31"/>
    </row>
    <row r="696">
      <c r="C696" s="31"/>
      <c r="E696" s="31"/>
    </row>
    <row r="697">
      <c r="C697" s="31"/>
      <c r="E697" s="31"/>
    </row>
    <row r="698">
      <c r="C698" s="31"/>
      <c r="E698" s="31"/>
    </row>
    <row r="699">
      <c r="C699" s="31"/>
      <c r="E699" s="31"/>
    </row>
    <row r="700">
      <c r="C700" s="31"/>
      <c r="E700" s="31"/>
    </row>
    <row r="701">
      <c r="C701" s="31"/>
      <c r="E701" s="31"/>
    </row>
    <row r="702">
      <c r="C702" s="31"/>
      <c r="E702" s="31"/>
    </row>
    <row r="703">
      <c r="C703" s="31"/>
      <c r="E703" s="31"/>
    </row>
    <row r="704">
      <c r="C704" s="31"/>
      <c r="E704" s="31"/>
    </row>
    <row r="705">
      <c r="C705" s="31"/>
      <c r="E705" s="31"/>
    </row>
    <row r="706">
      <c r="C706" s="31"/>
      <c r="E706" s="31"/>
    </row>
    <row r="707">
      <c r="C707" s="31"/>
      <c r="E707" s="31"/>
    </row>
    <row r="708">
      <c r="C708" s="31"/>
      <c r="E708" s="31"/>
    </row>
    <row r="709">
      <c r="C709" s="31"/>
      <c r="E709" s="31"/>
    </row>
    <row r="710">
      <c r="C710" s="31"/>
      <c r="E710" s="31"/>
    </row>
    <row r="711">
      <c r="C711" s="31"/>
      <c r="E711" s="31"/>
    </row>
    <row r="712">
      <c r="C712" s="31"/>
      <c r="E712" s="31"/>
    </row>
    <row r="713">
      <c r="C713" s="31"/>
      <c r="E713" s="31"/>
    </row>
    <row r="714">
      <c r="C714" s="31"/>
      <c r="E714" s="31"/>
    </row>
    <row r="715">
      <c r="C715" s="31"/>
      <c r="E715" s="31"/>
    </row>
    <row r="716">
      <c r="C716" s="31"/>
      <c r="E716" s="31"/>
    </row>
    <row r="717">
      <c r="C717" s="31"/>
      <c r="E717" s="31"/>
    </row>
    <row r="718">
      <c r="C718" s="31"/>
      <c r="E718" s="31"/>
    </row>
    <row r="719">
      <c r="C719" s="31"/>
      <c r="E719" s="31"/>
    </row>
    <row r="720">
      <c r="C720" s="31"/>
      <c r="E720" s="31"/>
    </row>
    <row r="721">
      <c r="C721" s="31"/>
      <c r="E721" s="31"/>
    </row>
    <row r="722">
      <c r="C722" s="31"/>
      <c r="E722" s="31"/>
    </row>
    <row r="723">
      <c r="C723" s="31"/>
      <c r="E723" s="31"/>
    </row>
    <row r="724">
      <c r="C724" s="31"/>
      <c r="E724" s="31"/>
    </row>
    <row r="725">
      <c r="C725" s="31"/>
      <c r="E725" s="31"/>
    </row>
    <row r="726">
      <c r="C726" s="31"/>
      <c r="E726" s="31"/>
    </row>
    <row r="727">
      <c r="C727" s="31"/>
      <c r="E727" s="31"/>
    </row>
    <row r="728">
      <c r="C728" s="31"/>
      <c r="E728" s="31"/>
    </row>
    <row r="729">
      <c r="C729" s="31"/>
      <c r="E729" s="31"/>
    </row>
    <row r="730">
      <c r="C730" s="31"/>
      <c r="E730" s="31"/>
    </row>
    <row r="731">
      <c r="C731" s="31"/>
      <c r="E731" s="31"/>
    </row>
    <row r="732">
      <c r="C732" s="31"/>
      <c r="E732" s="31"/>
    </row>
    <row r="733">
      <c r="C733" s="31"/>
      <c r="E733" s="31"/>
    </row>
    <row r="734">
      <c r="C734" s="31"/>
      <c r="E734" s="31"/>
    </row>
    <row r="735">
      <c r="C735" s="31"/>
      <c r="E735" s="31"/>
    </row>
    <row r="736">
      <c r="C736" s="31"/>
      <c r="E736" s="31"/>
    </row>
    <row r="737">
      <c r="C737" s="31"/>
      <c r="E737" s="31"/>
    </row>
    <row r="738">
      <c r="C738" s="31"/>
      <c r="E738" s="31"/>
    </row>
    <row r="739">
      <c r="C739" s="31"/>
      <c r="E739" s="31"/>
    </row>
    <row r="740">
      <c r="C740" s="31"/>
      <c r="E740" s="31"/>
    </row>
    <row r="741">
      <c r="C741" s="31"/>
      <c r="E741" s="31"/>
    </row>
    <row r="742">
      <c r="C742" s="31"/>
      <c r="E742" s="31"/>
    </row>
    <row r="743">
      <c r="C743" s="31"/>
      <c r="E743" s="31"/>
    </row>
    <row r="744">
      <c r="C744" s="31"/>
      <c r="E744" s="31"/>
    </row>
    <row r="745">
      <c r="C745" s="31"/>
      <c r="E745" s="31"/>
    </row>
    <row r="746">
      <c r="C746" s="31"/>
      <c r="E746" s="31"/>
    </row>
    <row r="747">
      <c r="C747" s="31"/>
      <c r="E747" s="31"/>
    </row>
    <row r="748">
      <c r="C748" s="31"/>
      <c r="E748" s="31"/>
    </row>
    <row r="749">
      <c r="C749" s="31"/>
      <c r="E749" s="31"/>
    </row>
    <row r="750">
      <c r="C750" s="31"/>
      <c r="E750" s="31"/>
    </row>
    <row r="751">
      <c r="C751" s="31"/>
      <c r="E751" s="31"/>
    </row>
    <row r="752">
      <c r="C752" s="31"/>
      <c r="E752" s="31"/>
    </row>
    <row r="753">
      <c r="C753" s="31"/>
      <c r="E753" s="31"/>
    </row>
    <row r="754">
      <c r="C754" s="31"/>
      <c r="E754" s="31"/>
    </row>
    <row r="755">
      <c r="C755" s="31"/>
      <c r="E755" s="31"/>
    </row>
    <row r="756">
      <c r="C756" s="31"/>
      <c r="E756" s="31"/>
    </row>
    <row r="757">
      <c r="C757" s="31"/>
      <c r="E757" s="31"/>
    </row>
    <row r="758">
      <c r="C758" s="31"/>
      <c r="E758" s="31"/>
    </row>
    <row r="759">
      <c r="C759" s="31"/>
      <c r="E759" s="31"/>
    </row>
    <row r="760">
      <c r="C760" s="31"/>
      <c r="E760" s="31"/>
    </row>
    <row r="761">
      <c r="C761" s="31"/>
      <c r="E761" s="31"/>
    </row>
    <row r="762">
      <c r="C762" s="31"/>
      <c r="E762" s="31"/>
    </row>
    <row r="763">
      <c r="C763" s="31"/>
      <c r="E763" s="31"/>
    </row>
    <row r="764">
      <c r="C764" s="31"/>
      <c r="E764" s="31"/>
    </row>
    <row r="765">
      <c r="C765" s="31"/>
      <c r="E765" s="31"/>
    </row>
    <row r="766">
      <c r="C766" s="31"/>
      <c r="E766" s="31"/>
    </row>
    <row r="767">
      <c r="C767" s="31"/>
      <c r="E767" s="31"/>
    </row>
    <row r="768">
      <c r="C768" s="31"/>
      <c r="E768" s="31"/>
    </row>
    <row r="769">
      <c r="C769" s="31"/>
      <c r="E769" s="31"/>
    </row>
    <row r="770">
      <c r="C770" s="31"/>
      <c r="E770" s="31"/>
    </row>
    <row r="771">
      <c r="C771" s="31"/>
      <c r="E771" s="31"/>
    </row>
    <row r="772">
      <c r="C772" s="31"/>
      <c r="E772" s="31"/>
    </row>
    <row r="773">
      <c r="C773" s="31"/>
      <c r="E773" s="31"/>
    </row>
    <row r="774">
      <c r="C774" s="31"/>
      <c r="E774" s="31"/>
    </row>
    <row r="775">
      <c r="C775" s="31"/>
      <c r="E775" s="31"/>
    </row>
    <row r="776">
      <c r="C776" s="31"/>
      <c r="E776" s="31"/>
    </row>
    <row r="777">
      <c r="C777" s="31"/>
      <c r="E777" s="31"/>
    </row>
    <row r="778">
      <c r="C778" s="31"/>
      <c r="E778" s="31"/>
    </row>
    <row r="779">
      <c r="C779" s="31"/>
      <c r="E779" s="31"/>
    </row>
    <row r="780">
      <c r="C780" s="31"/>
      <c r="E780" s="31"/>
    </row>
    <row r="781">
      <c r="C781" s="31"/>
      <c r="E781" s="31"/>
    </row>
    <row r="782">
      <c r="C782" s="31"/>
      <c r="E782" s="31"/>
    </row>
    <row r="783">
      <c r="C783" s="31"/>
      <c r="E783" s="31"/>
    </row>
    <row r="784">
      <c r="C784" s="31"/>
      <c r="E784" s="31"/>
    </row>
    <row r="785">
      <c r="C785" s="31"/>
      <c r="E785" s="31"/>
    </row>
    <row r="786">
      <c r="C786" s="31"/>
      <c r="E786" s="31"/>
    </row>
    <row r="787">
      <c r="C787" s="31"/>
      <c r="E787" s="31"/>
    </row>
    <row r="788">
      <c r="C788" s="31"/>
      <c r="E788" s="31"/>
    </row>
    <row r="789">
      <c r="C789" s="31"/>
      <c r="E789" s="31"/>
    </row>
    <row r="790">
      <c r="C790" s="31"/>
      <c r="E790" s="31"/>
    </row>
    <row r="791">
      <c r="C791" s="31"/>
      <c r="E791" s="31"/>
    </row>
    <row r="792">
      <c r="C792" s="31"/>
      <c r="E792" s="31"/>
    </row>
    <row r="793">
      <c r="C793" s="31"/>
      <c r="E793" s="31"/>
    </row>
    <row r="794">
      <c r="C794" s="31"/>
      <c r="E794" s="31"/>
    </row>
    <row r="795">
      <c r="C795" s="31"/>
      <c r="E795" s="31"/>
    </row>
    <row r="796">
      <c r="C796" s="31"/>
      <c r="E796" s="31"/>
    </row>
    <row r="797">
      <c r="C797" s="31"/>
      <c r="E797" s="31"/>
    </row>
    <row r="798">
      <c r="C798" s="31"/>
      <c r="E798" s="31"/>
    </row>
    <row r="799">
      <c r="C799" s="31"/>
      <c r="E799" s="31"/>
    </row>
    <row r="800">
      <c r="C800" s="31"/>
      <c r="E800" s="31"/>
    </row>
    <row r="801">
      <c r="C801" s="31"/>
      <c r="E801" s="31"/>
    </row>
    <row r="802">
      <c r="C802" s="31"/>
      <c r="E802" s="31"/>
    </row>
    <row r="803">
      <c r="C803" s="31"/>
      <c r="E803" s="31"/>
    </row>
    <row r="804">
      <c r="C804" s="31"/>
      <c r="E804" s="31"/>
    </row>
    <row r="805">
      <c r="C805" s="31"/>
      <c r="E805" s="31"/>
    </row>
    <row r="806">
      <c r="C806" s="31"/>
      <c r="E806" s="31"/>
    </row>
    <row r="807">
      <c r="C807" s="31"/>
      <c r="E807" s="31"/>
    </row>
    <row r="808">
      <c r="C808" s="31"/>
      <c r="E808" s="31"/>
    </row>
    <row r="809">
      <c r="C809" s="31"/>
      <c r="E809" s="31"/>
    </row>
    <row r="810">
      <c r="C810" s="31"/>
      <c r="E810" s="31"/>
    </row>
    <row r="811">
      <c r="C811" s="31"/>
      <c r="E811" s="31"/>
    </row>
    <row r="812">
      <c r="C812" s="31"/>
      <c r="E812" s="31"/>
    </row>
    <row r="813">
      <c r="C813" s="31"/>
      <c r="E813" s="31"/>
    </row>
    <row r="814">
      <c r="C814" s="31"/>
      <c r="E814" s="31"/>
    </row>
    <row r="815">
      <c r="C815" s="31"/>
      <c r="E815" s="31"/>
    </row>
    <row r="816">
      <c r="C816" s="31"/>
      <c r="E816" s="31"/>
    </row>
    <row r="817">
      <c r="C817" s="31"/>
      <c r="E817" s="31"/>
    </row>
    <row r="818">
      <c r="C818" s="31"/>
      <c r="E818" s="31"/>
    </row>
    <row r="819">
      <c r="C819" s="31"/>
      <c r="E819" s="31"/>
    </row>
    <row r="820">
      <c r="C820" s="31"/>
      <c r="E820" s="31"/>
    </row>
    <row r="821">
      <c r="C821" s="31"/>
      <c r="E821" s="31"/>
    </row>
    <row r="822">
      <c r="C822" s="31"/>
      <c r="E822" s="31"/>
    </row>
    <row r="823">
      <c r="C823" s="31"/>
      <c r="E823" s="31"/>
    </row>
    <row r="824">
      <c r="C824" s="31"/>
      <c r="E824" s="31"/>
    </row>
    <row r="825">
      <c r="C825" s="31"/>
      <c r="E825" s="31"/>
    </row>
    <row r="826">
      <c r="C826" s="31"/>
      <c r="E826" s="31"/>
    </row>
    <row r="827">
      <c r="C827" s="31"/>
      <c r="E827" s="31"/>
    </row>
    <row r="828">
      <c r="C828" s="31"/>
      <c r="E828" s="31"/>
    </row>
    <row r="829">
      <c r="C829" s="31"/>
      <c r="E829" s="31"/>
    </row>
    <row r="830">
      <c r="C830" s="31"/>
      <c r="E830" s="31"/>
    </row>
    <row r="831">
      <c r="C831" s="31"/>
      <c r="E831" s="31"/>
    </row>
    <row r="832">
      <c r="C832" s="31"/>
      <c r="E832" s="31"/>
    </row>
    <row r="833">
      <c r="C833" s="31"/>
      <c r="E833" s="31"/>
    </row>
    <row r="834">
      <c r="C834" s="31"/>
      <c r="E834" s="31"/>
    </row>
    <row r="835">
      <c r="C835" s="31"/>
      <c r="E835" s="31"/>
    </row>
    <row r="836">
      <c r="C836" s="31"/>
      <c r="E836" s="31"/>
    </row>
    <row r="837">
      <c r="C837" s="31"/>
      <c r="E837" s="31"/>
    </row>
    <row r="838">
      <c r="C838" s="31"/>
      <c r="E838" s="31"/>
    </row>
    <row r="839">
      <c r="C839" s="31"/>
      <c r="E839" s="31"/>
    </row>
    <row r="840">
      <c r="C840" s="31"/>
      <c r="E840" s="31"/>
    </row>
    <row r="841">
      <c r="C841" s="31"/>
      <c r="E841" s="31"/>
    </row>
    <row r="842">
      <c r="C842" s="31"/>
      <c r="E842" s="31"/>
    </row>
    <row r="843">
      <c r="C843" s="31"/>
      <c r="E843" s="31"/>
    </row>
    <row r="844">
      <c r="C844" s="31"/>
      <c r="E844" s="31"/>
    </row>
    <row r="845">
      <c r="C845" s="31"/>
      <c r="E845" s="31"/>
    </row>
    <row r="846">
      <c r="C846" s="31"/>
      <c r="E846" s="31"/>
    </row>
    <row r="847">
      <c r="C847" s="31"/>
      <c r="E847" s="31"/>
    </row>
    <row r="848">
      <c r="C848" s="31"/>
      <c r="E848" s="31"/>
    </row>
    <row r="849">
      <c r="C849" s="31"/>
      <c r="E849" s="31"/>
    </row>
    <row r="850">
      <c r="C850" s="31"/>
      <c r="E850" s="31"/>
    </row>
    <row r="851">
      <c r="C851" s="31"/>
      <c r="E851" s="31"/>
    </row>
    <row r="852">
      <c r="C852" s="31"/>
      <c r="E852" s="31"/>
    </row>
    <row r="853">
      <c r="C853" s="31"/>
      <c r="E853" s="31"/>
    </row>
    <row r="854">
      <c r="C854" s="31"/>
      <c r="E854" s="31"/>
    </row>
    <row r="855">
      <c r="C855" s="31"/>
      <c r="E855" s="31"/>
    </row>
    <row r="856">
      <c r="C856" s="31"/>
      <c r="E856" s="31"/>
    </row>
    <row r="857">
      <c r="C857" s="31"/>
      <c r="E857" s="31"/>
    </row>
    <row r="858">
      <c r="C858" s="31"/>
      <c r="E858" s="31"/>
    </row>
    <row r="859">
      <c r="C859" s="31"/>
      <c r="E859" s="31"/>
    </row>
    <row r="860">
      <c r="C860" s="31"/>
      <c r="E860" s="31"/>
    </row>
    <row r="861">
      <c r="C861" s="31"/>
      <c r="E861" s="31"/>
    </row>
    <row r="862">
      <c r="C862" s="31"/>
      <c r="E862" s="31"/>
    </row>
    <row r="863">
      <c r="C863" s="31"/>
      <c r="E863" s="31"/>
    </row>
    <row r="864">
      <c r="C864" s="31"/>
      <c r="E864" s="31"/>
    </row>
    <row r="865">
      <c r="C865" s="31"/>
      <c r="E865" s="31"/>
    </row>
    <row r="866">
      <c r="C866" s="31"/>
      <c r="E866" s="31"/>
    </row>
    <row r="867">
      <c r="C867" s="31"/>
      <c r="E867" s="31"/>
    </row>
    <row r="868">
      <c r="C868" s="31"/>
      <c r="E868" s="31"/>
    </row>
    <row r="869">
      <c r="C869" s="31"/>
      <c r="E869" s="31"/>
    </row>
    <row r="870">
      <c r="C870" s="31"/>
      <c r="E870" s="31"/>
    </row>
    <row r="871">
      <c r="C871" s="31"/>
      <c r="E871" s="31"/>
    </row>
    <row r="872">
      <c r="C872" s="31"/>
      <c r="E872" s="31"/>
    </row>
    <row r="873">
      <c r="C873" s="31"/>
      <c r="E873" s="31"/>
    </row>
    <row r="874">
      <c r="C874" s="31"/>
      <c r="E874" s="31"/>
    </row>
    <row r="875">
      <c r="C875" s="31"/>
      <c r="E875" s="31"/>
    </row>
    <row r="876">
      <c r="C876" s="31"/>
      <c r="E876" s="31"/>
    </row>
    <row r="877">
      <c r="C877" s="31"/>
      <c r="E877" s="31"/>
    </row>
    <row r="878">
      <c r="C878" s="31"/>
      <c r="E878" s="31"/>
    </row>
    <row r="879">
      <c r="C879" s="31"/>
      <c r="E879" s="31"/>
    </row>
    <row r="880">
      <c r="C880" s="31"/>
      <c r="E880" s="31"/>
    </row>
    <row r="881">
      <c r="C881" s="31"/>
      <c r="E881" s="31"/>
    </row>
    <row r="882">
      <c r="C882" s="31"/>
      <c r="E882" s="31"/>
    </row>
    <row r="883">
      <c r="C883" s="31"/>
      <c r="E883" s="31"/>
    </row>
    <row r="884">
      <c r="C884" s="31"/>
      <c r="E884" s="31"/>
    </row>
    <row r="885">
      <c r="C885" s="31"/>
      <c r="E885" s="31"/>
    </row>
    <row r="886">
      <c r="C886" s="31"/>
      <c r="E886" s="31"/>
    </row>
    <row r="887">
      <c r="C887" s="31"/>
      <c r="E887" s="31"/>
    </row>
    <row r="888">
      <c r="C888" s="31"/>
      <c r="E888" s="31"/>
    </row>
    <row r="889">
      <c r="C889" s="31"/>
      <c r="E889" s="31"/>
    </row>
    <row r="890">
      <c r="C890" s="31"/>
      <c r="E890" s="31"/>
    </row>
    <row r="891">
      <c r="C891" s="31"/>
      <c r="E891" s="31"/>
    </row>
    <row r="892">
      <c r="C892" s="31"/>
      <c r="E892" s="31"/>
    </row>
    <row r="893">
      <c r="C893" s="31"/>
      <c r="E893" s="31"/>
    </row>
    <row r="894">
      <c r="C894" s="31"/>
      <c r="E894" s="31"/>
    </row>
    <row r="895">
      <c r="C895" s="31"/>
      <c r="E895" s="31"/>
    </row>
    <row r="896">
      <c r="C896" s="31"/>
      <c r="E896" s="31"/>
    </row>
    <row r="897">
      <c r="C897" s="31"/>
      <c r="E897" s="31"/>
    </row>
    <row r="898">
      <c r="C898" s="31"/>
      <c r="E898" s="31"/>
    </row>
    <row r="899">
      <c r="C899" s="31"/>
      <c r="E899" s="31"/>
    </row>
    <row r="900">
      <c r="C900" s="31"/>
      <c r="E900" s="31"/>
    </row>
    <row r="901">
      <c r="C901" s="31"/>
      <c r="E901" s="31"/>
    </row>
    <row r="902">
      <c r="C902" s="31"/>
      <c r="E902" s="31"/>
    </row>
    <row r="903">
      <c r="C903" s="31"/>
      <c r="E903" s="31"/>
    </row>
    <row r="904">
      <c r="C904" s="31"/>
      <c r="E904" s="31"/>
    </row>
    <row r="905">
      <c r="C905" s="31"/>
      <c r="E905" s="31"/>
    </row>
    <row r="906">
      <c r="C906" s="31"/>
      <c r="E906" s="31"/>
    </row>
    <row r="907">
      <c r="C907" s="31"/>
      <c r="E907" s="31"/>
    </row>
    <row r="908">
      <c r="C908" s="31"/>
      <c r="E908" s="31"/>
    </row>
    <row r="909">
      <c r="C909" s="31"/>
      <c r="E909" s="31"/>
    </row>
    <row r="910">
      <c r="C910" s="31"/>
      <c r="E910" s="31"/>
    </row>
    <row r="911">
      <c r="C911" s="31"/>
      <c r="E911" s="31"/>
    </row>
    <row r="912">
      <c r="C912" s="31"/>
      <c r="E912" s="31"/>
    </row>
    <row r="913">
      <c r="C913" s="31"/>
      <c r="E913" s="31"/>
    </row>
    <row r="914">
      <c r="C914" s="31"/>
      <c r="E914" s="31"/>
    </row>
    <row r="915">
      <c r="C915" s="31"/>
      <c r="E915" s="31"/>
    </row>
    <row r="916">
      <c r="C916" s="31"/>
      <c r="E916" s="31"/>
    </row>
    <row r="917">
      <c r="C917" s="31"/>
      <c r="E917" s="31"/>
    </row>
    <row r="918">
      <c r="C918" s="31"/>
      <c r="E918" s="31"/>
    </row>
    <row r="919">
      <c r="C919" s="31"/>
      <c r="E919" s="31"/>
    </row>
    <row r="920">
      <c r="C920" s="31"/>
      <c r="E920" s="31"/>
    </row>
    <row r="921">
      <c r="C921" s="31"/>
      <c r="E921" s="31"/>
    </row>
    <row r="922">
      <c r="C922" s="31"/>
      <c r="E922" s="31"/>
    </row>
    <row r="923">
      <c r="C923" s="31"/>
      <c r="E923" s="31"/>
    </row>
    <row r="924">
      <c r="C924" s="31"/>
      <c r="E924" s="31"/>
    </row>
    <row r="925">
      <c r="C925" s="31"/>
      <c r="E925" s="31"/>
    </row>
    <row r="926">
      <c r="C926" s="31"/>
      <c r="E926" s="31"/>
    </row>
    <row r="927">
      <c r="C927" s="31"/>
      <c r="E927" s="31"/>
    </row>
    <row r="928">
      <c r="C928" s="31"/>
      <c r="E928" s="31"/>
    </row>
    <row r="929">
      <c r="C929" s="31"/>
      <c r="E929" s="31"/>
    </row>
    <row r="930">
      <c r="C930" s="31"/>
      <c r="E930" s="31"/>
    </row>
    <row r="931">
      <c r="C931" s="31"/>
      <c r="E931" s="31"/>
    </row>
    <row r="932">
      <c r="C932" s="31"/>
      <c r="E932" s="31"/>
    </row>
    <row r="933">
      <c r="C933" s="31"/>
      <c r="E933" s="31"/>
    </row>
    <row r="934">
      <c r="C934" s="31"/>
      <c r="E934" s="31"/>
    </row>
    <row r="935">
      <c r="C935" s="31"/>
      <c r="E935" s="31"/>
    </row>
    <row r="936">
      <c r="C936" s="31"/>
      <c r="E936" s="31"/>
    </row>
    <row r="937">
      <c r="C937" s="31"/>
      <c r="E937" s="31"/>
    </row>
    <row r="938">
      <c r="C938" s="31"/>
      <c r="E938" s="31"/>
    </row>
    <row r="939">
      <c r="C939" s="31"/>
      <c r="E939" s="31"/>
    </row>
    <row r="940">
      <c r="C940" s="31"/>
      <c r="E940" s="31"/>
    </row>
    <row r="941">
      <c r="C941" s="31"/>
      <c r="E941" s="31"/>
    </row>
    <row r="942">
      <c r="C942" s="31"/>
      <c r="E942" s="31"/>
    </row>
    <row r="943">
      <c r="C943" s="31"/>
      <c r="E943" s="31"/>
    </row>
    <row r="944">
      <c r="C944" s="31"/>
      <c r="E944" s="31"/>
    </row>
    <row r="945">
      <c r="C945" s="31"/>
      <c r="E945" s="31"/>
    </row>
    <row r="946">
      <c r="C946" s="31"/>
      <c r="E946" s="31"/>
    </row>
    <row r="947">
      <c r="C947" s="31"/>
      <c r="E947" s="31"/>
    </row>
    <row r="948">
      <c r="C948" s="31"/>
      <c r="E948" s="31"/>
    </row>
    <row r="949">
      <c r="C949" s="31"/>
      <c r="E949" s="31"/>
    </row>
    <row r="950">
      <c r="C950" s="31"/>
      <c r="E950" s="31"/>
    </row>
    <row r="951">
      <c r="C951" s="31"/>
      <c r="E951" s="31"/>
    </row>
    <row r="952">
      <c r="C952" s="31"/>
      <c r="E952" s="31"/>
    </row>
    <row r="953">
      <c r="C953" s="31"/>
      <c r="E953" s="31"/>
    </row>
    <row r="954">
      <c r="C954" s="31"/>
      <c r="E954" s="31"/>
    </row>
    <row r="955">
      <c r="C955" s="31"/>
      <c r="E955" s="31"/>
    </row>
    <row r="956">
      <c r="C956" s="31"/>
      <c r="E956" s="31"/>
    </row>
    <row r="957">
      <c r="C957" s="31"/>
      <c r="E957" s="31"/>
    </row>
    <row r="958">
      <c r="C958" s="31"/>
      <c r="E958" s="31"/>
    </row>
    <row r="959">
      <c r="C959" s="31"/>
      <c r="E959" s="31"/>
    </row>
    <row r="960">
      <c r="C960" s="31"/>
      <c r="E960" s="31"/>
    </row>
    <row r="961">
      <c r="C961" s="31"/>
      <c r="E961" s="31"/>
    </row>
    <row r="962">
      <c r="C962" s="31"/>
      <c r="E962" s="31"/>
    </row>
    <row r="963">
      <c r="C963" s="31"/>
      <c r="E963" s="31"/>
    </row>
    <row r="964">
      <c r="C964" s="31"/>
      <c r="E964" s="31"/>
    </row>
    <row r="965">
      <c r="C965" s="31"/>
      <c r="E965" s="31"/>
    </row>
    <row r="966">
      <c r="C966" s="31"/>
      <c r="E966" s="31"/>
    </row>
    <row r="967">
      <c r="C967" s="31"/>
      <c r="E967" s="31"/>
    </row>
    <row r="968">
      <c r="C968" s="31"/>
      <c r="E968" s="31"/>
    </row>
    <row r="969">
      <c r="C969" s="31"/>
      <c r="E969" s="31"/>
    </row>
    <row r="970">
      <c r="C970" s="31"/>
      <c r="E970" s="31"/>
    </row>
    <row r="971">
      <c r="C971" s="31"/>
      <c r="E971" s="31"/>
    </row>
    <row r="972">
      <c r="C972" s="31"/>
      <c r="E972" s="31"/>
    </row>
    <row r="973">
      <c r="C973" s="31"/>
      <c r="E973" s="31"/>
    </row>
    <row r="974">
      <c r="C974" s="31"/>
      <c r="E974" s="31"/>
    </row>
    <row r="975">
      <c r="C975" s="31"/>
      <c r="E975" s="31"/>
    </row>
    <row r="976">
      <c r="C976" s="31"/>
      <c r="E976" s="31"/>
    </row>
    <row r="977">
      <c r="C977" s="31"/>
      <c r="E977" s="31"/>
    </row>
    <row r="978">
      <c r="C978" s="31"/>
      <c r="E978" s="31"/>
    </row>
    <row r="979">
      <c r="C979" s="31"/>
      <c r="E979" s="31"/>
    </row>
    <row r="980">
      <c r="C980" s="31"/>
      <c r="E980" s="31"/>
    </row>
    <row r="981">
      <c r="C981" s="31"/>
      <c r="E981" s="31"/>
    </row>
    <row r="982">
      <c r="C982" s="31"/>
      <c r="E982" s="31"/>
    </row>
    <row r="983">
      <c r="C983" s="31"/>
      <c r="E983" s="31"/>
    </row>
    <row r="984">
      <c r="C984" s="31"/>
      <c r="E984" s="31"/>
    </row>
    <row r="985">
      <c r="C985" s="31"/>
      <c r="E985" s="31"/>
    </row>
    <row r="986">
      <c r="C986" s="31"/>
      <c r="E986" s="31"/>
    </row>
    <row r="987">
      <c r="C987" s="31"/>
      <c r="E987" s="31"/>
    </row>
    <row r="988">
      <c r="C988" s="31"/>
      <c r="E988" s="31"/>
    </row>
    <row r="989">
      <c r="C989" s="31"/>
      <c r="E989" s="31"/>
    </row>
    <row r="990">
      <c r="C990" s="31"/>
      <c r="E990" s="31"/>
    </row>
    <row r="991">
      <c r="C991" s="31"/>
      <c r="E991" s="31"/>
    </row>
    <row r="992">
      <c r="C992" s="31"/>
      <c r="E992" s="31"/>
    </row>
    <row r="993">
      <c r="C993" s="31"/>
      <c r="E993" s="31"/>
    </row>
    <row r="994">
      <c r="C994" s="31"/>
      <c r="E994" s="31"/>
    </row>
    <row r="995">
      <c r="C995" s="31"/>
      <c r="E995" s="31"/>
    </row>
    <row r="996">
      <c r="C996" s="31"/>
      <c r="E996" s="31"/>
    </row>
    <row r="997">
      <c r="C997" s="31"/>
      <c r="E997" s="31"/>
    </row>
    <row r="998">
      <c r="C998" s="31"/>
      <c r="E998" s="31"/>
    </row>
    <row r="999">
      <c r="C999" s="31"/>
      <c r="E999" s="31"/>
    </row>
    <row r="1000">
      <c r="C1000" s="31"/>
      <c r="E1000" s="31"/>
    </row>
    <row r="1001">
      <c r="C1001" s="31"/>
      <c r="E1001" s="31"/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</hyperlinks>
  <drawing r:id="rId39"/>
  <tableParts count="1">
    <tablePart r:id="rId4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28.88"/>
    <col customWidth="1" min="3" max="3" width="42.13"/>
    <col customWidth="1" min="5" max="5" width="6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4" t="s">
        <v>1497</v>
      </c>
      <c r="B2" s="4" t="s">
        <v>1498</v>
      </c>
      <c r="C2" s="4" t="s">
        <v>1499</v>
      </c>
      <c r="D2" s="4" t="s">
        <v>12</v>
      </c>
      <c r="E2" s="3" t="s">
        <v>1500</v>
      </c>
    </row>
    <row r="3">
      <c r="A3" s="4" t="s">
        <v>1497</v>
      </c>
      <c r="B3" s="4" t="s">
        <v>1498</v>
      </c>
      <c r="C3" s="4" t="s">
        <v>1501</v>
      </c>
      <c r="D3" s="4" t="s">
        <v>14</v>
      </c>
      <c r="E3" s="6" t="s">
        <v>1502</v>
      </c>
    </row>
    <row r="4">
      <c r="A4" s="4" t="s">
        <v>1497</v>
      </c>
      <c r="B4" s="4" t="s">
        <v>1498</v>
      </c>
      <c r="C4" s="4" t="s">
        <v>1501</v>
      </c>
      <c r="D4" s="4" t="s">
        <v>19</v>
      </c>
      <c r="E4" s="3" t="s">
        <v>1503</v>
      </c>
    </row>
    <row r="5">
      <c r="A5" s="4" t="s">
        <v>1497</v>
      </c>
      <c r="B5" s="4" t="s">
        <v>1498</v>
      </c>
      <c r="C5" s="4" t="s">
        <v>1501</v>
      </c>
      <c r="D5" s="4" t="s">
        <v>12</v>
      </c>
      <c r="E5" s="3" t="s">
        <v>1504</v>
      </c>
    </row>
    <row r="6">
      <c r="A6" s="4" t="s">
        <v>1497</v>
      </c>
      <c r="B6" s="4" t="s">
        <v>1498</v>
      </c>
      <c r="C6" s="4" t="s">
        <v>1501</v>
      </c>
      <c r="D6" s="4" t="s">
        <v>23</v>
      </c>
      <c r="E6" s="10" t="s">
        <v>1505</v>
      </c>
    </row>
    <row r="7">
      <c r="A7" s="4" t="s">
        <v>1497</v>
      </c>
      <c r="B7" s="4" t="s">
        <v>1506</v>
      </c>
      <c r="C7" s="4" t="s">
        <v>1507</v>
      </c>
      <c r="D7" s="4" t="s">
        <v>14</v>
      </c>
      <c r="E7" s="6" t="s">
        <v>1508</v>
      </c>
    </row>
    <row r="8">
      <c r="A8" s="4" t="s">
        <v>1497</v>
      </c>
      <c r="B8" s="4" t="s">
        <v>1506</v>
      </c>
      <c r="C8" s="4" t="s">
        <v>1507</v>
      </c>
      <c r="D8" s="4" t="s">
        <v>19</v>
      </c>
      <c r="E8" s="3" t="s">
        <v>1509</v>
      </c>
    </row>
    <row r="9">
      <c r="A9" s="4" t="s">
        <v>1497</v>
      </c>
      <c r="B9" s="4" t="s">
        <v>1506</v>
      </c>
      <c r="C9" s="4" t="s">
        <v>1507</v>
      </c>
      <c r="D9" s="4" t="s">
        <v>12</v>
      </c>
      <c r="E9" s="3" t="s">
        <v>1510</v>
      </c>
    </row>
    <row r="10">
      <c r="A10" s="4" t="s">
        <v>1497</v>
      </c>
      <c r="B10" s="4" t="s">
        <v>1506</v>
      </c>
      <c r="C10" s="4" t="s">
        <v>1507</v>
      </c>
      <c r="D10" s="4" t="s">
        <v>23</v>
      </c>
      <c r="E10" s="3" t="s">
        <v>1511</v>
      </c>
    </row>
    <row r="11">
      <c r="A11" s="4" t="s">
        <v>1497</v>
      </c>
      <c r="B11" s="4" t="s">
        <v>1512</v>
      </c>
      <c r="C11" s="4" t="s">
        <v>1513</v>
      </c>
      <c r="D11" s="4" t="s">
        <v>14</v>
      </c>
      <c r="E11" s="6" t="s">
        <v>1514</v>
      </c>
    </row>
    <row r="12">
      <c r="A12" s="4" t="s">
        <v>1497</v>
      </c>
      <c r="B12" s="4" t="s">
        <v>1512</v>
      </c>
      <c r="C12" s="4" t="s">
        <v>1513</v>
      </c>
      <c r="D12" s="4" t="s">
        <v>60</v>
      </c>
      <c r="E12" s="6" t="s">
        <v>1515</v>
      </c>
    </row>
    <row r="13">
      <c r="A13" s="4" t="s">
        <v>1497</v>
      </c>
      <c r="B13" s="4" t="s">
        <v>1512</v>
      </c>
      <c r="C13" s="4" t="s">
        <v>1513</v>
      </c>
      <c r="D13" s="4" t="s">
        <v>19</v>
      </c>
      <c r="E13" s="3" t="s">
        <v>1516</v>
      </c>
    </row>
    <row r="14">
      <c r="A14" s="4" t="s">
        <v>1497</v>
      </c>
      <c r="B14" s="4" t="s">
        <v>1512</v>
      </c>
      <c r="C14" s="4" t="s">
        <v>1513</v>
      </c>
      <c r="D14" s="4" t="s">
        <v>12</v>
      </c>
      <c r="E14" s="3" t="s">
        <v>1517</v>
      </c>
    </row>
    <row r="15">
      <c r="A15" s="4" t="s">
        <v>1497</v>
      </c>
      <c r="B15" s="4" t="s">
        <v>1512</v>
      </c>
      <c r="C15" s="4" t="s">
        <v>1513</v>
      </c>
      <c r="D15" s="4" t="s">
        <v>23</v>
      </c>
      <c r="E15" s="10" t="s">
        <v>1518</v>
      </c>
      <c r="F15" s="4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>
      <c r="A16" s="4" t="s">
        <v>1497</v>
      </c>
      <c r="B16" s="4" t="s">
        <v>1519</v>
      </c>
      <c r="C16" s="4" t="s">
        <v>1520</v>
      </c>
      <c r="D16" s="4" t="s">
        <v>12</v>
      </c>
      <c r="E16" s="3" t="s">
        <v>1521</v>
      </c>
    </row>
    <row r="17">
      <c r="A17" s="4" t="s">
        <v>1497</v>
      </c>
      <c r="B17" s="4" t="s">
        <v>1519</v>
      </c>
      <c r="C17" s="4" t="s">
        <v>1522</v>
      </c>
      <c r="D17" s="4" t="s">
        <v>19</v>
      </c>
      <c r="E17" s="3" t="s">
        <v>1523</v>
      </c>
    </row>
    <row r="18">
      <c r="A18" s="4" t="s">
        <v>1497</v>
      </c>
      <c r="B18" s="4" t="s">
        <v>1519</v>
      </c>
      <c r="C18" s="4" t="s">
        <v>1522</v>
      </c>
      <c r="D18" s="4" t="s">
        <v>14</v>
      </c>
      <c r="E18" s="6" t="s">
        <v>1524</v>
      </c>
    </row>
    <row r="19">
      <c r="A19" s="4" t="s">
        <v>1497</v>
      </c>
      <c r="B19" s="4" t="s">
        <v>1519</v>
      </c>
      <c r="C19" s="4" t="s">
        <v>1522</v>
      </c>
      <c r="D19" s="4" t="s">
        <v>12</v>
      </c>
      <c r="E19" s="10" t="s">
        <v>1525</v>
      </c>
    </row>
    <row r="20">
      <c r="A20" s="4" t="s">
        <v>1497</v>
      </c>
      <c r="B20" s="4" t="s">
        <v>1519</v>
      </c>
      <c r="C20" s="4" t="s">
        <v>1522</v>
      </c>
      <c r="D20" s="4" t="s">
        <v>23</v>
      </c>
      <c r="E20" s="6" t="s">
        <v>1526</v>
      </c>
      <c r="F20" s="46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>
      <c r="A21" s="4" t="s">
        <v>1497</v>
      </c>
      <c r="B21" s="4" t="s">
        <v>1519</v>
      </c>
      <c r="C21" s="4" t="s">
        <v>1527</v>
      </c>
      <c r="D21" s="4" t="s">
        <v>14</v>
      </c>
      <c r="E21" s="6" t="s">
        <v>1528</v>
      </c>
    </row>
    <row r="22">
      <c r="A22" s="4" t="s">
        <v>1497</v>
      </c>
      <c r="B22" s="4" t="s">
        <v>1519</v>
      </c>
      <c r="C22" s="4" t="s">
        <v>1527</v>
      </c>
      <c r="D22" s="4" t="s">
        <v>19</v>
      </c>
      <c r="E22" s="6" t="s">
        <v>1529</v>
      </c>
    </row>
    <row r="23">
      <c r="A23" s="4" t="s">
        <v>1497</v>
      </c>
      <c r="B23" s="4" t="s">
        <v>1519</v>
      </c>
      <c r="C23" s="4" t="s">
        <v>1527</v>
      </c>
      <c r="D23" s="4" t="s">
        <v>12</v>
      </c>
      <c r="E23" s="3" t="s">
        <v>1530</v>
      </c>
    </row>
    <row r="24">
      <c r="A24" s="4" t="s">
        <v>1497</v>
      </c>
      <c r="B24" s="4" t="s">
        <v>1519</v>
      </c>
      <c r="C24" s="4" t="s">
        <v>1527</v>
      </c>
      <c r="D24" s="4" t="s">
        <v>23</v>
      </c>
      <c r="E24" s="10" t="s">
        <v>1531</v>
      </c>
    </row>
    <row r="25">
      <c r="A25" s="4" t="s">
        <v>1497</v>
      </c>
      <c r="B25" s="4" t="s">
        <v>1532</v>
      </c>
      <c r="C25" s="4" t="s">
        <v>1533</v>
      </c>
      <c r="D25" s="4" t="s">
        <v>12</v>
      </c>
      <c r="E25" s="3" t="s">
        <v>1534</v>
      </c>
    </row>
    <row r="26">
      <c r="A26" s="4" t="s">
        <v>1497</v>
      </c>
      <c r="B26" s="4" t="s">
        <v>1532</v>
      </c>
      <c r="C26" s="4" t="s">
        <v>1535</v>
      </c>
      <c r="D26" s="4" t="s">
        <v>14</v>
      </c>
      <c r="E26" s="6" t="s">
        <v>1536</v>
      </c>
    </row>
    <row r="27">
      <c r="A27" s="4" t="s">
        <v>1497</v>
      </c>
      <c r="B27" s="4" t="s">
        <v>1532</v>
      </c>
      <c r="C27" s="4" t="s">
        <v>1535</v>
      </c>
      <c r="D27" s="4" t="s">
        <v>60</v>
      </c>
      <c r="E27" s="26" t="s">
        <v>1537</v>
      </c>
    </row>
    <row r="28">
      <c r="A28" s="4" t="s">
        <v>1497</v>
      </c>
      <c r="B28" s="4" t="s">
        <v>1532</v>
      </c>
      <c r="C28" s="4" t="s">
        <v>1535</v>
      </c>
      <c r="D28" s="4" t="s">
        <v>19</v>
      </c>
      <c r="E28" s="6" t="s">
        <v>1538</v>
      </c>
    </row>
    <row r="29">
      <c r="A29" s="4" t="s">
        <v>1497</v>
      </c>
      <c r="B29" s="4" t="s">
        <v>1532</v>
      </c>
      <c r="C29" s="4" t="s">
        <v>1535</v>
      </c>
      <c r="D29" s="4" t="s">
        <v>8</v>
      </c>
      <c r="E29" s="6" t="s">
        <v>1539</v>
      </c>
    </row>
    <row r="30">
      <c r="A30" s="4" t="s">
        <v>1497</v>
      </c>
      <c r="B30" s="4" t="s">
        <v>1532</v>
      </c>
      <c r="C30" s="4" t="s">
        <v>1535</v>
      </c>
      <c r="D30" s="4" t="s">
        <v>1223</v>
      </c>
      <c r="E30" s="6" t="s">
        <v>1540</v>
      </c>
    </row>
    <row r="31">
      <c r="A31" s="4" t="s">
        <v>1497</v>
      </c>
      <c r="B31" s="4" t="s">
        <v>1532</v>
      </c>
      <c r="C31" s="4" t="s">
        <v>1535</v>
      </c>
      <c r="D31" s="4" t="s">
        <v>12</v>
      </c>
      <c r="E31" s="3" t="s">
        <v>1541</v>
      </c>
    </row>
    <row r="32">
      <c r="A32" s="4" t="s">
        <v>1497</v>
      </c>
      <c r="B32" s="4" t="s">
        <v>1532</v>
      </c>
      <c r="C32" s="4" t="s">
        <v>1535</v>
      </c>
      <c r="D32" s="4" t="s">
        <v>23</v>
      </c>
      <c r="E32" s="3" t="s">
        <v>1542</v>
      </c>
    </row>
    <row r="33">
      <c r="A33" s="4" t="s">
        <v>1497</v>
      </c>
      <c r="B33" s="4" t="s">
        <v>1532</v>
      </c>
      <c r="C33" s="4" t="s">
        <v>1543</v>
      </c>
      <c r="D33" s="4" t="s">
        <v>14</v>
      </c>
      <c r="E33" s="6" t="s">
        <v>1544</v>
      </c>
    </row>
    <row r="34">
      <c r="A34" s="4" t="s">
        <v>1497</v>
      </c>
      <c r="B34" s="4" t="s">
        <v>1532</v>
      </c>
      <c r="C34" s="4" t="s">
        <v>1543</v>
      </c>
      <c r="D34" s="4" t="s">
        <v>19</v>
      </c>
      <c r="E34" s="6" t="s">
        <v>1545</v>
      </c>
    </row>
    <row r="35">
      <c r="A35" s="4" t="s">
        <v>1497</v>
      </c>
      <c r="B35" s="4" t="s">
        <v>1532</v>
      </c>
      <c r="C35" s="4" t="s">
        <v>1543</v>
      </c>
      <c r="D35" s="4" t="s">
        <v>12</v>
      </c>
      <c r="E35" s="3" t="s">
        <v>1546</v>
      </c>
    </row>
    <row r="36">
      <c r="A36" s="4" t="s">
        <v>1497</v>
      </c>
      <c r="B36" s="4" t="s">
        <v>1532</v>
      </c>
      <c r="C36" s="4" t="s">
        <v>1543</v>
      </c>
      <c r="D36" s="4" t="s">
        <v>23</v>
      </c>
      <c r="E36" s="10" t="s">
        <v>1547</v>
      </c>
    </row>
    <row r="37">
      <c r="A37" s="4" t="s">
        <v>1497</v>
      </c>
      <c r="B37" s="4" t="s">
        <v>1548</v>
      </c>
      <c r="C37" s="4" t="s">
        <v>1549</v>
      </c>
      <c r="D37" s="4" t="s">
        <v>14</v>
      </c>
      <c r="E37" s="6" t="s">
        <v>1550</v>
      </c>
    </row>
    <row r="38">
      <c r="A38" s="4" t="s">
        <v>1497</v>
      </c>
      <c r="B38" s="4" t="s">
        <v>1548</v>
      </c>
      <c r="C38" s="4" t="s">
        <v>1549</v>
      </c>
      <c r="D38" s="4" t="s">
        <v>19</v>
      </c>
      <c r="E38" s="3" t="s">
        <v>1551</v>
      </c>
    </row>
    <row r="39">
      <c r="A39" s="4" t="s">
        <v>1497</v>
      </c>
      <c r="B39" s="4" t="s">
        <v>1548</v>
      </c>
      <c r="C39" s="4" t="s">
        <v>1549</v>
      </c>
      <c r="D39" s="4" t="s">
        <v>8</v>
      </c>
      <c r="E39" s="6" t="s">
        <v>1552</v>
      </c>
    </row>
    <row r="40">
      <c r="A40" s="4" t="s">
        <v>1497</v>
      </c>
      <c r="B40" s="4" t="s">
        <v>1548</v>
      </c>
      <c r="C40" s="4" t="s">
        <v>1549</v>
      </c>
      <c r="D40" s="4" t="s">
        <v>12</v>
      </c>
      <c r="E40" s="3" t="s">
        <v>1553</v>
      </c>
    </row>
    <row r="41">
      <c r="A41" s="4" t="s">
        <v>1497</v>
      </c>
      <c r="B41" s="4" t="s">
        <v>1548</v>
      </c>
      <c r="C41" s="4" t="s">
        <v>1549</v>
      </c>
      <c r="D41" s="4" t="s">
        <v>23</v>
      </c>
      <c r="E41" s="10" t="s">
        <v>1554</v>
      </c>
    </row>
    <row r="42">
      <c r="A42" s="4" t="s">
        <v>1497</v>
      </c>
      <c r="B42" s="4" t="s">
        <v>1555</v>
      </c>
      <c r="C42" s="4" t="s">
        <v>1556</v>
      </c>
      <c r="D42" s="4" t="s">
        <v>12</v>
      </c>
      <c r="E42" s="3" t="s">
        <v>1557</v>
      </c>
    </row>
    <row r="43">
      <c r="A43" s="4" t="s">
        <v>1497</v>
      </c>
      <c r="B43" s="4" t="s">
        <v>1555</v>
      </c>
      <c r="C43" s="4" t="s">
        <v>1558</v>
      </c>
      <c r="D43" s="4" t="s">
        <v>14</v>
      </c>
      <c r="E43" s="6" t="s">
        <v>1559</v>
      </c>
    </row>
    <row r="44">
      <c r="A44" s="4" t="s">
        <v>1497</v>
      </c>
      <c r="B44" s="4" t="s">
        <v>1555</v>
      </c>
      <c r="C44" s="4" t="s">
        <v>1558</v>
      </c>
      <c r="D44" s="4" t="s">
        <v>60</v>
      </c>
      <c r="E44" s="10" t="s">
        <v>1560</v>
      </c>
    </row>
    <row r="45">
      <c r="A45" s="4" t="s">
        <v>1497</v>
      </c>
      <c r="B45" s="4" t="s">
        <v>1555</v>
      </c>
      <c r="C45" s="4" t="s">
        <v>1558</v>
      </c>
      <c r="D45" s="4" t="s">
        <v>19</v>
      </c>
      <c r="E45" s="3" t="s">
        <v>1561</v>
      </c>
    </row>
    <row r="46">
      <c r="A46" s="4" t="s">
        <v>1497</v>
      </c>
      <c r="B46" s="4" t="s">
        <v>1555</v>
      </c>
      <c r="C46" s="4" t="s">
        <v>1558</v>
      </c>
      <c r="D46" s="4" t="s">
        <v>12</v>
      </c>
      <c r="E46" s="3" t="s">
        <v>1562</v>
      </c>
    </row>
    <row r="47">
      <c r="A47" s="4" t="s">
        <v>1497</v>
      </c>
      <c r="B47" s="4" t="s">
        <v>1555</v>
      </c>
      <c r="C47" s="4" t="s">
        <v>1558</v>
      </c>
      <c r="D47" s="4" t="s">
        <v>23</v>
      </c>
      <c r="E47" s="10" t="s">
        <v>1563</v>
      </c>
    </row>
    <row r="48">
      <c r="A48" s="4" t="s">
        <v>1497</v>
      </c>
      <c r="B48" s="4" t="s">
        <v>1555</v>
      </c>
      <c r="C48" s="4" t="s">
        <v>1558</v>
      </c>
      <c r="D48" s="4" t="s">
        <v>283</v>
      </c>
      <c r="E48" s="6" t="s">
        <v>1564</v>
      </c>
    </row>
    <row r="49">
      <c r="A49" s="4" t="s">
        <v>1497</v>
      </c>
      <c r="B49" s="4" t="s">
        <v>1565</v>
      </c>
      <c r="C49" s="4" t="s">
        <v>1566</v>
      </c>
      <c r="D49" s="4" t="s">
        <v>14</v>
      </c>
      <c r="E49" s="6" t="s">
        <v>1567</v>
      </c>
    </row>
    <row r="50">
      <c r="A50" s="4" t="s">
        <v>1497</v>
      </c>
      <c r="B50" s="4" t="s">
        <v>1565</v>
      </c>
      <c r="C50" s="4" t="s">
        <v>1566</v>
      </c>
      <c r="D50" s="4" t="s">
        <v>19</v>
      </c>
      <c r="E50" s="3" t="s">
        <v>1568</v>
      </c>
    </row>
    <row r="51">
      <c r="A51" s="4" t="s">
        <v>1497</v>
      </c>
      <c r="B51" s="4" t="s">
        <v>1565</v>
      </c>
      <c r="C51" s="4" t="s">
        <v>1566</v>
      </c>
      <c r="D51" s="4" t="s">
        <v>12</v>
      </c>
      <c r="E51" s="3" t="s">
        <v>1569</v>
      </c>
    </row>
    <row r="52">
      <c r="A52" s="4" t="s">
        <v>1497</v>
      </c>
      <c r="B52" s="4" t="s">
        <v>1565</v>
      </c>
      <c r="C52" s="4" t="s">
        <v>1566</v>
      </c>
      <c r="D52" s="4" t="s">
        <v>23</v>
      </c>
      <c r="E52" s="10" t="s">
        <v>1570</v>
      </c>
      <c r="F52" s="8"/>
    </row>
    <row r="53">
      <c r="A53" s="4" t="s">
        <v>1497</v>
      </c>
      <c r="B53" s="4" t="s">
        <v>1565</v>
      </c>
      <c r="C53" s="4" t="s">
        <v>1566</v>
      </c>
      <c r="D53" s="4" t="s">
        <v>425</v>
      </c>
      <c r="E53" s="6" t="s">
        <v>1571</v>
      </c>
    </row>
    <row r="54">
      <c r="A54" s="4" t="s">
        <v>1497</v>
      </c>
      <c r="B54" s="4" t="s">
        <v>1572</v>
      </c>
      <c r="C54" s="4" t="s">
        <v>1573</v>
      </c>
      <c r="D54" s="4" t="s">
        <v>14</v>
      </c>
      <c r="E54" s="6" t="s">
        <v>1574</v>
      </c>
    </row>
    <row r="55">
      <c r="A55" s="4" t="s">
        <v>1497</v>
      </c>
      <c r="B55" s="4" t="s">
        <v>1572</v>
      </c>
      <c r="C55" s="4" t="s">
        <v>1573</v>
      </c>
      <c r="D55" s="4" t="s">
        <v>19</v>
      </c>
      <c r="E55" s="6" t="s">
        <v>1575</v>
      </c>
    </row>
    <row r="56">
      <c r="A56" s="4" t="s">
        <v>1497</v>
      </c>
      <c r="B56" s="4" t="s">
        <v>1572</v>
      </c>
      <c r="C56" s="4" t="s">
        <v>1573</v>
      </c>
      <c r="D56" s="4" t="s">
        <v>12</v>
      </c>
      <c r="E56" s="10" t="s">
        <v>1576</v>
      </c>
    </row>
    <row r="57">
      <c r="A57" s="4" t="s">
        <v>1497</v>
      </c>
      <c r="B57" s="4" t="s">
        <v>1572</v>
      </c>
      <c r="C57" s="4" t="s">
        <v>1573</v>
      </c>
      <c r="D57" s="4" t="s">
        <v>23</v>
      </c>
      <c r="E57" s="10" t="s">
        <v>1577</v>
      </c>
    </row>
    <row r="58">
      <c r="A58" s="4" t="s">
        <v>1497</v>
      </c>
      <c r="B58" s="4" t="s">
        <v>1578</v>
      </c>
      <c r="C58" s="4" t="s">
        <v>1579</v>
      </c>
      <c r="D58" s="4" t="s">
        <v>14</v>
      </c>
      <c r="E58" s="6" t="s">
        <v>1580</v>
      </c>
    </row>
    <row r="59">
      <c r="A59" s="4" t="s">
        <v>1497</v>
      </c>
      <c r="B59" s="4" t="s">
        <v>1578</v>
      </c>
      <c r="C59" s="4" t="s">
        <v>1579</v>
      </c>
      <c r="D59" s="4" t="s">
        <v>19</v>
      </c>
      <c r="E59" s="6" t="s">
        <v>1581</v>
      </c>
    </row>
    <row r="60">
      <c r="A60" s="4" t="s">
        <v>1497</v>
      </c>
      <c r="B60" s="4" t="s">
        <v>1578</v>
      </c>
      <c r="C60" s="4" t="s">
        <v>1582</v>
      </c>
      <c r="D60" s="4" t="s">
        <v>12</v>
      </c>
      <c r="E60" s="10" t="s">
        <v>1583</v>
      </c>
    </row>
    <row r="61">
      <c r="A61" s="4" t="s">
        <v>1497</v>
      </c>
      <c r="B61" s="4" t="s">
        <v>1578</v>
      </c>
      <c r="C61" s="4" t="s">
        <v>1584</v>
      </c>
      <c r="D61" s="4" t="s">
        <v>14</v>
      </c>
      <c r="E61" s="6" t="s">
        <v>1585</v>
      </c>
    </row>
    <row r="62">
      <c r="A62" s="4" t="s">
        <v>1497</v>
      </c>
      <c r="B62" s="4" t="s">
        <v>1578</v>
      </c>
      <c r="C62" s="4" t="s">
        <v>1584</v>
      </c>
      <c r="D62" s="4" t="s">
        <v>60</v>
      </c>
      <c r="E62" s="6" t="s">
        <v>1586</v>
      </c>
    </row>
    <row r="63">
      <c r="A63" s="4" t="s">
        <v>1497</v>
      </c>
      <c r="B63" s="4" t="s">
        <v>1578</v>
      </c>
      <c r="C63" s="4" t="s">
        <v>1584</v>
      </c>
      <c r="D63" s="4" t="s">
        <v>19</v>
      </c>
      <c r="E63" s="3" t="s">
        <v>1587</v>
      </c>
    </row>
    <row r="64">
      <c r="A64" s="4" t="s">
        <v>1497</v>
      </c>
      <c r="B64" s="4" t="s">
        <v>1578</v>
      </c>
      <c r="C64" s="4" t="s">
        <v>1584</v>
      </c>
      <c r="D64" s="4" t="s">
        <v>8</v>
      </c>
      <c r="E64" s="6" t="s">
        <v>1588</v>
      </c>
    </row>
    <row r="65">
      <c r="A65" s="4" t="s">
        <v>1497</v>
      </c>
      <c r="B65" s="4" t="s">
        <v>1578</v>
      </c>
      <c r="C65" s="4" t="s">
        <v>1584</v>
      </c>
      <c r="D65" s="4" t="s">
        <v>12</v>
      </c>
      <c r="E65" s="3" t="s">
        <v>1589</v>
      </c>
    </row>
    <row r="66">
      <c r="A66" s="4" t="s">
        <v>1497</v>
      </c>
      <c r="B66" s="4" t="s">
        <v>1578</v>
      </c>
      <c r="C66" s="4" t="s">
        <v>1584</v>
      </c>
      <c r="D66" s="4" t="s">
        <v>23</v>
      </c>
      <c r="E66" s="10" t="s">
        <v>1590</v>
      </c>
    </row>
    <row r="67">
      <c r="A67" s="4" t="s">
        <v>1497</v>
      </c>
      <c r="B67" s="4" t="s">
        <v>1591</v>
      </c>
      <c r="C67" s="4" t="s">
        <v>1592</v>
      </c>
      <c r="D67" s="4" t="s">
        <v>14</v>
      </c>
      <c r="E67" s="6" t="s">
        <v>1593</v>
      </c>
    </row>
    <row r="68">
      <c r="A68" s="4" t="s">
        <v>1497</v>
      </c>
      <c r="B68" s="4" t="s">
        <v>1591</v>
      </c>
      <c r="C68" s="4" t="s">
        <v>1592</v>
      </c>
      <c r="D68" s="4" t="s">
        <v>19</v>
      </c>
      <c r="E68" s="3" t="s">
        <v>1594</v>
      </c>
    </row>
    <row r="69">
      <c r="A69" s="4" t="s">
        <v>1497</v>
      </c>
      <c r="B69" s="4" t="s">
        <v>1591</v>
      </c>
      <c r="C69" s="4" t="s">
        <v>1592</v>
      </c>
      <c r="D69" s="4" t="s">
        <v>12</v>
      </c>
      <c r="E69" s="3" t="s">
        <v>1595</v>
      </c>
    </row>
    <row r="70">
      <c r="A70" s="4" t="s">
        <v>1497</v>
      </c>
      <c r="B70" s="4" t="s">
        <v>1591</v>
      </c>
      <c r="C70" s="4" t="s">
        <v>1592</v>
      </c>
      <c r="D70" s="4" t="s">
        <v>23</v>
      </c>
      <c r="E70" s="10" t="s">
        <v>1596</v>
      </c>
    </row>
    <row r="71">
      <c r="A71" s="4" t="s">
        <v>1497</v>
      </c>
      <c r="B71" s="4" t="s">
        <v>1597</v>
      </c>
      <c r="C71" s="4" t="s">
        <v>1598</v>
      </c>
      <c r="D71" s="4" t="s">
        <v>12</v>
      </c>
      <c r="E71" s="3" t="s">
        <v>1599</v>
      </c>
    </row>
    <row r="72">
      <c r="A72" s="4" t="s">
        <v>1497</v>
      </c>
      <c r="B72" s="4" t="s">
        <v>1597</v>
      </c>
      <c r="C72" s="4" t="s">
        <v>1600</v>
      </c>
      <c r="D72" s="4" t="s">
        <v>14</v>
      </c>
      <c r="E72" s="6" t="s">
        <v>1601</v>
      </c>
    </row>
    <row r="73">
      <c r="A73" s="4" t="s">
        <v>1497</v>
      </c>
      <c r="B73" s="4" t="s">
        <v>1597</v>
      </c>
      <c r="C73" s="4" t="s">
        <v>1600</v>
      </c>
      <c r="D73" s="4" t="s">
        <v>19</v>
      </c>
      <c r="E73" s="10" t="s">
        <v>1602</v>
      </c>
    </row>
    <row r="74">
      <c r="A74" s="4" t="s">
        <v>1497</v>
      </c>
      <c r="B74" s="4" t="s">
        <v>1597</v>
      </c>
      <c r="C74" s="4" t="s">
        <v>1600</v>
      </c>
      <c r="D74" s="4" t="s">
        <v>12</v>
      </c>
      <c r="E74" s="3" t="s">
        <v>1603</v>
      </c>
    </row>
    <row r="75">
      <c r="A75" s="4" t="s">
        <v>1497</v>
      </c>
      <c r="B75" s="4" t="s">
        <v>1597</v>
      </c>
      <c r="C75" s="4" t="s">
        <v>1600</v>
      </c>
      <c r="D75" s="4" t="s">
        <v>23</v>
      </c>
      <c r="E75" s="10" t="s">
        <v>1604</v>
      </c>
    </row>
    <row r="76">
      <c r="A76" s="4" t="s">
        <v>1497</v>
      </c>
      <c r="B76" s="4" t="s">
        <v>1605</v>
      </c>
      <c r="C76" s="4" t="s">
        <v>1606</v>
      </c>
      <c r="D76" s="4" t="s">
        <v>12</v>
      </c>
      <c r="E76" s="3" t="s">
        <v>1607</v>
      </c>
    </row>
    <row r="77">
      <c r="A77" s="4" t="s">
        <v>1497</v>
      </c>
      <c r="B77" s="4" t="s">
        <v>1605</v>
      </c>
      <c r="C77" s="4" t="s">
        <v>1608</v>
      </c>
      <c r="D77" s="4" t="s">
        <v>14</v>
      </c>
      <c r="E77" s="6" t="s">
        <v>1609</v>
      </c>
    </row>
    <row r="78">
      <c r="A78" s="4" t="s">
        <v>1497</v>
      </c>
      <c r="B78" s="4" t="s">
        <v>1605</v>
      </c>
      <c r="C78" s="4" t="s">
        <v>1608</v>
      </c>
      <c r="D78" s="4" t="s">
        <v>19</v>
      </c>
      <c r="E78" s="6" t="s">
        <v>1610</v>
      </c>
    </row>
    <row r="79">
      <c r="A79" s="4" t="s">
        <v>1497</v>
      </c>
      <c r="B79" s="4" t="s">
        <v>1605</v>
      </c>
      <c r="C79" s="4" t="s">
        <v>1608</v>
      </c>
      <c r="D79" s="4" t="s">
        <v>12</v>
      </c>
      <c r="E79" s="10" t="s">
        <v>1611</v>
      </c>
    </row>
    <row r="80">
      <c r="A80" s="4" t="s">
        <v>1497</v>
      </c>
      <c r="B80" s="4" t="s">
        <v>1605</v>
      </c>
      <c r="C80" s="4" t="s">
        <v>1612</v>
      </c>
      <c r="D80" s="4" t="s">
        <v>14</v>
      </c>
      <c r="E80" s="6" t="s">
        <v>1613</v>
      </c>
    </row>
    <row r="81">
      <c r="A81" s="4" t="s">
        <v>1497</v>
      </c>
      <c r="B81" s="4" t="s">
        <v>1605</v>
      </c>
      <c r="C81" s="4" t="s">
        <v>1612</v>
      </c>
      <c r="D81" s="4" t="s">
        <v>19</v>
      </c>
      <c r="E81" s="3" t="s">
        <v>1614</v>
      </c>
    </row>
    <row r="82">
      <c r="A82" s="4" t="s">
        <v>1497</v>
      </c>
      <c r="B82" s="4" t="s">
        <v>1605</v>
      </c>
      <c r="C82" s="4" t="s">
        <v>1612</v>
      </c>
      <c r="D82" s="4" t="s">
        <v>12</v>
      </c>
      <c r="E82" s="3" t="s">
        <v>1615</v>
      </c>
    </row>
    <row r="83">
      <c r="A83" s="4" t="s">
        <v>1497</v>
      </c>
      <c r="B83" s="4" t="s">
        <v>1605</v>
      </c>
      <c r="C83" s="4" t="s">
        <v>1612</v>
      </c>
      <c r="D83" s="4" t="s">
        <v>23</v>
      </c>
      <c r="E83" s="10" t="s">
        <v>1616</v>
      </c>
      <c r="F83" s="46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>
      <c r="A84" s="4" t="s">
        <v>1497</v>
      </c>
      <c r="B84" s="4" t="s">
        <v>1605</v>
      </c>
      <c r="C84" s="4" t="s">
        <v>1617</v>
      </c>
      <c r="D84" s="4" t="s">
        <v>14</v>
      </c>
      <c r="E84" s="6" t="s">
        <v>1618</v>
      </c>
    </row>
    <row r="85">
      <c r="A85" s="4" t="s">
        <v>1497</v>
      </c>
      <c r="B85" s="4" t="s">
        <v>1605</v>
      </c>
      <c r="C85" s="4" t="s">
        <v>1617</v>
      </c>
      <c r="D85" s="4" t="s">
        <v>19</v>
      </c>
      <c r="E85" s="6" t="s">
        <v>1619</v>
      </c>
    </row>
    <row r="86">
      <c r="A86" s="4" t="s">
        <v>1497</v>
      </c>
      <c r="B86" s="4" t="s">
        <v>1605</v>
      </c>
      <c r="C86" s="4" t="s">
        <v>1617</v>
      </c>
      <c r="D86" s="4" t="s">
        <v>1620</v>
      </c>
      <c r="E86" s="6" t="s">
        <v>1621</v>
      </c>
    </row>
    <row r="87">
      <c r="A87" s="4" t="s">
        <v>1497</v>
      </c>
      <c r="B87" s="4" t="s">
        <v>1605</v>
      </c>
      <c r="C87" s="4" t="s">
        <v>1617</v>
      </c>
      <c r="D87" s="4" t="s">
        <v>12</v>
      </c>
      <c r="E87" s="3" t="s">
        <v>1622</v>
      </c>
    </row>
    <row r="88">
      <c r="A88" s="4" t="s">
        <v>1497</v>
      </c>
      <c r="B88" s="4" t="s">
        <v>1605</v>
      </c>
      <c r="C88" s="4" t="s">
        <v>1617</v>
      </c>
      <c r="D88" s="4" t="s">
        <v>23</v>
      </c>
      <c r="E88" s="10" t="s">
        <v>1623</v>
      </c>
    </row>
    <row r="89">
      <c r="A89" s="4" t="s">
        <v>1497</v>
      </c>
      <c r="B89" s="4" t="s">
        <v>1624</v>
      </c>
      <c r="C89" s="4" t="s">
        <v>1625</v>
      </c>
      <c r="D89" s="4" t="s">
        <v>14</v>
      </c>
      <c r="E89" s="6" t="s">
        <v>1626</v>
      </c>
    </row>
    <row r="90">
      <c r="A90" s="4" t="s">
        <v>1497</v>
      </c>
      <c r="B90" s="4" t="s">
        <v>1624</v>
      </c>
      <c r="C90" s="4" t="s">
        <v>1625</v>
      </c>
      <c r="D90" s="4" t="s">
        <v>12</v>
      </c>
      <c r="E90" s="3" t="s">
        <v>1627</v>
      </c>
    </row>
    <row r="91">
      <c r="A91" s="4" t="s">
        <v>1497</v>
      </c>
      <c r="B91" s="4" t="s">
        <v>1624</v>
      </c>
      <c r="C91" s="4" t="s">
        <v>1625</v>
      </c>
      <c r="D91" s="4" t="s">
        <v>23</v>
      </c>
      <c r="E91" s="10" t="s">
        <v>1628</v>
      </c>
    </row>
    <row r="92">
      <c r="A92" s="4" t="s">
        <v>1497</v>
      </c>
      <c r="B92" s="4" t="s">
        <v>1629</v>
      </c>
      <c r="C92" s="4" t="s">
        <v>1630</v>
      </c>
      <c r="D92" s="4" t="s">
        <v>14</v>
      </c>
      <c r="E92" s="6" t="s">
        <v>1631</v>
      </c>
    </row>
    <row r="93">
      <c r="A93" s="4" t="s">
        <v>1497</v>
      </c>
      <c r="B93" s="4" t="s">
        <v>1629</v>
      </c>
      <c r="C93" s="4" t="s">
        <v>1630</v>
      </c>
      <c r="D93" s="4" t="s">
        <v>60</v>
      </c>
      <c r="E93" s="6" t="s">
        <v>1632</v>
      </c>
    </row>
    <row r="94">
      <c r="A94" s="4" t="s">
        <v>1497</v>
      </c>
      <c r="B94" s="4" t="s">
        <v>1629</v>
      </c>
      <c r="C94" s="4" t="s">
        <v>1630</v>
      </c>
      <c r="D94" s="4" t="s">
        <v>19</v>
      </c>
      <c r="E94" s="6" t="s">
        <v>1633</v>
      </c>
    </row>
    <row r="95">
      <c r="A95" s="4" t="s">
        <v>1497</v>
      </c>
      <c r="B95" s="4" t="s">
        <v>1629</v>
      </c>
      <c r="C95" s="4" t="s">
        <v>1630</v>
      </c>
      <c r="D95" s="4" t="s">
        <v>8</v>
      </c>
      <c r="E95" s="6" t="s">
        <v>1634</v>
      </c>
    </row>
    <row r="96">
      <c r="A96" s="4" t="s">
        <v>1497</v>
      </c>
      <c r="B96" s="4" t="s">
        <v>1629</v>
      </c>
      <c r="C96" s="4" t="s">
        <v>1630</v>
      </c>
      <c r="D96" s="4" t="s">
        <v>12</v>
      </c>
      <c r="E96" s="3" t="s">
        <v>1635</v>
      </c>
    </row>
    <row r="97">
      <c r="A97" s="4" t="s">
        <v>1497</v>
      </c>
      <c r="B97" s="4" t="s">
        <v>1629</v>
      </c>
      <c r="C97" s="4" t="s">
        <v>1630</v>
      </c>
      <c r="D97" s="4" t="s">
        <v>23</v>
      </c>
      <c r="E97" s="10" t="s">
        <v>1636</v>
      </c>
    </row>
    <row r="98">
      <c r="A98" s="4" t="s">
        <v>1497</v>
      </c>
      <c r="B98" s="4" t="s">
        <v>171</v>
      </c>
      <c r="C98" s="4" t="s">
        <v>1637</v>
      </c>
      <c r="D98" s="4" t="s">
        <v>14</v>
      </c>
      <c r="E98" s="6" t="s">
        <v>1638</v>
      </c>
    </row>
    <row r="99">
      <c r="A99" s="4" t="s">
        <v>1497</v>
      </c>
      <c r="B99" s="4" t="s">
        <v>171</v>
      </c>
      <c r="C99" s="4" t="s">
        <v>1637</v>
      </c>
      <c r="D99" s="4" t="s">
        <v>19</v>
      </c>
      <c r="E99" s="3" t="s">
        <v>1639</v>
      </c>
    </row>
    <row r="100">
      <c r="A100" s="4" t="s">
        <v>1497</v>
      </c>
      <c r="B100" s="4" t="s">
        <v>171</v>
      </c>
      <c r="C100" s="4" t="s">
        <v>1637</v>
      </c>
      <c r="D100" s="4" t="s">
        <v>8</v>
      </c>
      <c r="E100" s="13" t="s">
        <v>1640</v>
      </c>
    </row>
    <row r="101">
      <c r="A101" s="4" t="s">
        <v>1497</v>
      </c>
      <c r="B101" s="4" t="s">
        <v>171</v>
      </c>
      <c r="C101" s="4" t="s">
        <v>1637</v>
      </c>
      <c r="D101" s="4" t="s">
        <v>12</v>
      </c>
      <c r="E101" s="3" t="s">
        <v>1641</v>
      </c>
    </row>
    <row r="102">
      <c r="A102" s="4" t="s">
        <v>1497</v>
      </c>
      <c r="B102" s="4" t="s">
        <v>171</v>
      </c>
      <c r="C102" s="4" t="s">
        <v>1637</v>
      </c>
      <c r="D102" s="4" t="s">
        <v>23</v>
      </c>
      <c r="E102" s="10" t="s">
        <v>1642</v>
      </c>
    </row>
    <row r="103">
      <c r="A103" s="4" t="s">
        <v>1497</v>
      </c>
      <c r="B103" s="4" t="s">
        <v>6</v>
      </c>
      <c r="C103" s="4" t="s">
        <v>1643</v>
      </c>
      <c r="D103" s="4" t="s">
        <v>12</v>
      </c>
      <c r="E103" s="10" t="s">
        <v>1644</v>
      </c>
    </row>
    <row r="104">
      <c r="A104" s="4" t="s">
        <v>1497</v>
      </c>
      <c r="B104" s="4" t="s">
        <v>6</v>
      </c>
      <c r="C104" s="4" t="s">
        <v>1645</v>
      </c>
      <c r="D104" s="4" t="s">
        <v>14</v>
      </c>
      <c r="E104" s="6" t="s">
        <v>1646</v>
      </c>
    </row>
    <row r="105">
      <c r="A105" s="4" t="s">
        <v>1497</v>
      </c>
      <c r="B105" s="4" t="s">
        <v>6</v>
      </c>
      <c r="C105" s="4" t="s">
        <v>1645</v>
      </c>
      <c r="D105" s="4" t="s">
        <v>12</v>
      </c>
      <c r="E105" s="3" t="s">
        <v>1647</v>
      </c>
    </row>
    <row r="106">
      <c r="A106" s="4" t="s">
        <v>1497</v>
      </c>
      <c r="B106" s="4" t="s">
        <v>6</v>
      </c>
      <c r="C106" s="4" t="s">
        <v>1648</v>
      </c>
      <c r="D106" s="4" t="s">
        <v>14</v>
      </c>
      <c r="E106" s="6" t="s">
        <v>1649</v>
      </c>
    </row>
    <row r="107">
      <c r="A107" s="4" t="s">
        <v>1497</v>
      </c>
      <c r="B107" s="4" t="s">
        <v>6</v>
      </c>
      <c r="C107" s="4" t="s">
        <v>1648</v>
      </c>
      <c r="D107" s="4" t="s">
        <v>19</v>
      </c>
      <c r="E107" s="6" t="s">
        <v>1650</v>
      </c>
    </row>
    <row r="108">
      <c r="A108" s="4" t="s">
        <v>1497</v>
      </c>
      <c r="B108" s="4" t="s">
        <v>6</v>
      </c>
      <c r="C108" s="4" t="s">
        <v>1648</v>
      </c>
      <c r="D108" s="4" t="s">
        <v>12</v>
      </c>
      <c r="E108" s="10" t="s">
        <v>1651</v>
      </c>
    </row>
    <row r="109">
      <c r="A109" s="4" t="s">
        <v>1497</v>
      </c>
      <c r="B109" s="4" t="s">
        <v>1652</v>
      </c>
      <c r="C109" s="4" t="s">
        <v>1653</v>
      </c>
      <c r="D109" s="4" t="s">
        <v>14</v>
      </c>
      <c r="E109" s="6" t="s">
        <v>1654</v>
      </c>
    </row>
    <row r="110">
      <c r="A110" s="4" t="s">
        <v>1497</v>
      </c>
      <c r="B110" s="4" t="s">
        <v>1652</v>
      </c>
      <c r="C110" s="4" t="s">
        <v>1653</v>
      </c>
      <c r="D110" s="4" t="s">
        <v>12</v>
      </c>
      <c r="E110" s="3" t="s">
        <v>1655</v>
      </c>
    </row>
    <row r="111">
      <c r="A111" s="4" t="s">
        <v>1497</v>
      </c>
      <c r="B111" s="4" t="s">
        <v>1652</v>
      </c>
      <c r="C111" s="4" t="s">
        <v>1653</v>
      </c>
      <c r="D111" s="4" t="s">
        <v>23</v>
      </c>
      <c r="E111" s="10" t="s">
        <v>1656</v>
      </c>
    </row>
    <row r="112">
      <c r="A112" s="4" t="s">
        <v>1497</v>
      </c>
      <c r="B112" s="4" t="s">
        <v>1652</v>
      </c>
      <c r="C112" s="4" t="s">
        <v>1653</v>
      </c>
      <c r="D112" s="4" t="s">
        <v>425</v>
      </c>
      <c r="E112" s="6" t="s">
        <v>1657</v>
      </c>
    </row>
    <row r="113">
      <c r="A113" s="4" t="s">
        <v>1497</v>
      </c>
      <c r="B113" s="4" t="s">
        <v>1652</v>
      </c>
      <c r="C113" s="4" t="s">
        <v>1653</v>
      </c>
      <c r="D113" s="4" t="s">
        <v>19</v>
      </c>
      <c r="E113" s="6" t="s">
        <v>1658</v>
      </c>
    </row>
    <row r="114">
      <c r="A114" s="4"/>
      <c r="B114" s="4"/>
      <c r="C114" s="4"/>
      <c r="D114" s="4"/>
      <c r="E114" s="6"/>
    </row>
    <row r="115">
      <c r="A115" s="4"/>
      <c r="B115" s="4"/>
      <c r="C115" s="4"/>
      <c r="D115" s="4"/>
      <c r="E115" s="6"/>
    </row>
    <row r="116">
      <c r="A116" s="4"/>
      <c r="B116" s="4"/>
      <c r="C116" s="4"/>
      <c r="D116" s="4"/>
      <c r="E116" s="6"/>
    </row>
    <row r="117">
      <c r="A117" s="4"/>
      <c r="B117" s="4"/>
      <c r="C117" s="4"/>
      <c r="D117" s="4"/>
      <c r="E117" s="6"/>
    </row>
    <row r="118">
      <c r="A118" s="4"/>
      <c r="B118" s="4"/>
      <c r="C118" s="4"/>
      <c r="D118" s="4"/>
      <c r="E118" s="6"/>
    </row>
    <row r="119">
      <c r="A119" s="4"/>
      <c r="B119" s="4"/>
      <c r="C119" s="4"/>
      <c r="D119" s="4"/>
      <c r="E119" s="6"/>
    </row>
    <row r="120">
      <c r="A120" s="4"/>
      <c r="B120" s="4"/>
      <c r="C120" s="4"/>
      <c r="D120" s="4"/>
      <c r="E120" s="6"/>
    </row>
    <row r="121">
      <c r="A121" s="4"/>
      <c r="B121" s="4"/>
      <c r="C121" s="4"/>
      <c r="D121" s="4"/>
      <c r="E121" s="6"/>
    </row>
    <row r="122">
      <c r="A122" s="4"/>
      <c r="B122" s="4"/>
      <c r="C122" s="4"/>
      <c r="D122" s="4"/>
      <c r="E122" s="6"/>
    </row>
    <row r="123">
      <c r="A123" s="4"/>
      <c r="B123" s="4"/>
      <c r="C123" s="4"/>
      <c r="D123" s="4"/>
      <c r="E123" s="6"/>
    </row>
    <row r="124">
      <c r="A124" s="4"/>
      <c r="B124" s="4"/>
      <c r="C124" s="4"/>
      <c r="D124" s="4"/>
      <c r="E124" s="6"/>
    </row>
    <row r="125">
      <c r="A125" s="4"/>
      <c r="B125" s="4"/>
      <c r="C125" s="4"/>
      <c r="D125" s="4"/>
      <c r="E125" s="6"/>
    </row>
    <row r="126">
      <c r="A126" s="4"/>
      <c r="B126" s="4"/>
      <c r="C126" s="4"/>
      <c r="D126" s="4"/>
      <c r="E126" s="6"/>
    </row>
    <row r="127">
      <c r="A127" s="4"/>
      <c r="B127" s="4"/>
      <c r="C127" s="4"/>
      <c r="D127" s="4"/>
      <c r="E127" s="6"/>
    </row>
    <row r="128">
      <c r="A128" s="4"/>
      <c r="B128" s="4"/>
      <c r="C128" s="17"/>
      <c r="D128" s="4"/>
      <c r="E128" s="6"/>
    </row>
    <row r="129">
      <c r="A129" s="4"/>
      <c r="B129" s="4"/>
      <c r="C129" s="4"/>
      <c r="D129" s="4"/>
      <c r="E129" s="48"/>
    </row>
    <row r="130">
      <c r="A130" s="4"/>
      <c r="B130" s="4"/>
      <c r="C130" s="4"/>
      <c r="D130" s="4"/>
      <c r="E130" s="48"/>
    </row>
    <row r="131">
      <c r="A131" s="4"/>
      <c r="B131" s="4"/>
      <c r="C131" s="4"/>
      <c r="D131" s="4"/>
      <c r="E131" s="48"/>
    </row>
    <row r="132">
      <c r="A132" s="4"/>
      <c r="B132" s="14"/>
      <c r="C132" s="4"/>
      <c r="D132" s="4"/>
      <c r="E132" s="15"/>
    </row>
    <row r="133">
      <c r="A133" s="4"/>
      <c r="B133" s="4"/>
      <c r="C133" s="4"/>
      <c r="D133" s="4"/>
      <c r="E133" s="48"/>
    </row>
    <row r="134">
      <c r="A134" s="4"/>
      <c r="B134" s="4"/>
      <c r="C134" s="4"/>
      <c r="D134" s="4"/>
      <c r="E134" s="48"/>
    </row>
    <row r="135">
      <c r="A135" s="4"/>
      <c r="B135" s="4"/>
      <c r="C135" s="4"/>
      <c r="D135" s="4"/>
      <c r="E135" s="4"/>
    </row>
    <row r="136">
      <c r="A136" s="4"/>
      <c r="B136" s="4"/>
      <c r="C136" s="4"/>
      <c r="D136" s="4"/>
      <c r="E136" s="48"/>
    </row>
    <row r="137">
      <c r="A137" s="4"/>
      <c r="B137" s="4"/>
      <c r="C137" s="4"/>
      <c r="D137" s="4"/>
      <c r="E137" s="48"/>
    </row>
    <row r="138">
      <c r="A138" s="4"/>
      <c r="B138" s="4"/>
      <c r="C138" s="4"/>
      <c r="D138" s="4"/>
      <c r="E138" s="6"/>
    </row>
    <row r="139">
      <c r="A139" s="4"/>
      <c r="B139" s="4"/>
      <c r="C139" s="4"/>
      <c r="D139" s="4"/>
      <c r="E139" s="6"/>
    </row>
    <row r="140">
      <c r="A140" s="4"/>
      <c r="B140" s="4"/>
      <c r="C140" s="4"/>
      <c r="D140" s="4"/>
      <c r="E140" s="48"/>
    </row>
    <row r="141">
      <c r="A141" s="4"/>
      <c r="B141" s="4"/>
      <c r="C141" s="4"/>
      <c r="D141" s="4"/>
      <c r="E141" s="48"/>
    </row>
    <row r="142">
      <c r="A142" s="4"/>
      <c r="B142" s="4"/>
      <c r="C142" s="17"/>
      <c r="D142" s="4"/>
      <c r="E142" s="48"/>
    </row>
    <row r="143">
      <c r="A143" s="4"/>
      <c r="B143" s="4"/>
      <c r="C143" s="17"/>
      <c r="D143" s="4"/>
      <c r="E143" s="48"/>
    </row>
    <row r="144">
      <c r="A144" s="4"/>
      <c r="B144" s="4"/>
      <c r="C144" s="4"/>
      <c r="D144" s="4"/>
      <c r="E144" s="6"/>
    </row>
    <row r="145">
      <c r="A145" s="4"/>
      <c r="B145" s="4"/>
      <c r="C145" s="4"/>
      <c r="D145" s="4"/>
      <c r="E145" s="6"/>
    </row>
    <row r="146">
      <c r="A146" s="4"/>
      <c r="B146" s="4"/>
      <c r="C146" s="4"/>
      <c r="D146" s="4"/>
      <c r="E146" s="6"/>
    </row>
    <row r="147">
      <c r="A147" s="4"/>
      <c r="B147" s="4"/>
      <c r="C147" s="4"/>
      <c r="D147" s="4"/>
      <c r="E147" s="6"/>
    </row>
    <row r="148">
      <c r="A148" s="4"/>
      <c r="B148" s="4"/>
      <c r="C148" s="4"/>
      <c r="D148" s="4"/>
      <c r="E148" s="6"/>
    </row>
    <row r="149">
      <c r="A149" s="4"/>
      <c r="B149" s="4"/>
      <c r="C149" s="4"/>
      <c r="D149" s="4"/>
      <c r="E149" s="6"/>
    </row>
    <row r="150">
      <c r="A150" s="4"/>
      <c r="B150" s="4"/>
      <c r="C150" s="4"/>
      <c r="D150" s="4"/>
      <c r="E150" s="6"/>
    </row>
    <row r="151">
      <c r="A151" s="4"/>
      <c r="B151" s="4"/>
      <c r="C151" s="4"/>
      <c r="D151" s="4"/>
      <c r="E151" s="6"/>
    </row>
    <row r="152">
      <c r="A152" s="4"/>
      <c r="B152" s="4"/>
      <c r="C152" s="4"/>
      <c r="D152" s="4"/>
      <c r="E152" s="6"/>
    </row>
    <row r="153">
      <c r="A153" s="4"/>
      <c r="B153" s="4"/>
      <c r="C153" s="4"/>
      <c r="D153" s="4"/>
      <c r="E153" s="6"/>
    </row>
    <row r="154">
      <c r="A154" s="4"/>
      <c r="B154" s="4"/>
      <c r="C154" s="4"/>
      <c r="D154" s="4"/>
      <c r="E154" s="6"/>
    </row>
    <row r="155">
      <c r="A155" s="4"/>
      <c r="B155" s="4"/>
      <c r="C155" s="4"/>
      <c r="D155" s="4"/>
      <c r="E155" s="6"/>
    </row>
    <row r="156">
      <c r="A156" s="4"/>
      <c r="B156" s="4"/>
      <c r="C156" s="4"/>
      <c r="D156" s="4"/>
      <c r="E156" s="6"/>
    </row>
    <row r="157">
      <c r="A157" s="4"/>
      <c r="B157" s="4"/>
      <c r="C157" s="4"/>
      <c r="D157" s="4"/>
      <c r="E157" s="6"/>
    </row>
    <row r="158">
      <c r="A158" s="4"/>
      <c r="B158" s="4"/>
      <c r="C158" s="4"/>
      <c r="D158" s="4"/>
      <c r="E158" s="6"/>
    </row>
    <row r="159">
      <c r="A159" s="4"/>
      <c r="B159" s="4"/>
      <c r="C159" s="4"/>
      <c r="D159" s="4"/>
      <c r="E159" s="6"/>
    </row>
    <row r="160">
      <c r="A160" s="4"/>
      <c r="B160" s="4"/>
      <c r="C160" s="4"/>
      <c r="D160" s="4"/>
      <c r="E160" s="6"/>
    </row>
    <row r="161">
      <c r="A161" s="4"/>
      <c r="B161" s="4"/>
      <c r="C161" s="4"/>
      <c r="D161" s="4"/>
      <c r="E161" s="6"/>
    </row>
    <row r="162">
      <c r="A162" s="4"/>
      <c r="B162" s="4"/>
      <c r="C162" s="4"/>
      <c r="D162" s="4"/>
      <c r="E162" s="6"/>
    </row>
    <row r="163">
      <c r="A163" s="4"/>
      <c r="B163" s="4"/>
      <c r="C163" s="4"/>
      <c r="D163" s="4"/>
      <c r="E163" s="5"/>
    </row>
    <row r="164">
      <c r="A164" s="4"/>
      <c r="B164" s="4"/>
      <c r="C164" s="4"/>
      <c r="D164" s="4"/>
      <c r="E164" s="6"/>
    </row>
    <row r="165">
      <c r="A165" s="4"/>
      <c r="B165" s="4"/>
      <c r="C165" s="4"/>
      <c r="D165" s="4"/>
      <c r="E165" s="6"/>
    </row>
    <row r="166">
      <c r="A166" s="4"/>
      <c r="B166" s="4"/>
      <c r="C166" s="4"/>
      <c r="D166" s="4"/>
      <c r="E166" s="6"/>
    </row>
    <row r="167">
      <c r="A167" s="4"/>
      <c r="B167" s="4"/>
      <c r="C167" s="4"/>
      <c r="D167" s="4"/>
      <c r="E167" s="6"/>
    </row>
    <row r="168">
      <c r="A168" s="4"/>
      <c r="B168" s="4"/>
      <c r="C168" s="4"/>
      <c r="D168" s="4"/>
      <c r="E168" s="6"/>
    </row>
    <row r="169">
      <c r="A169" s="4"/>
      <c r="B169" s="4"/>
      <c r="C169" s="4"/>
      <c r="D169" s="4"/>
      <c r="E169" s="6"/>
    </row>
    <row r="170">
      <c r="A170" s="4"/>
      <c r="B170" s="4"/>
      <c r="C170" s="4"/>
      <c r="D170" s="4"/>
      <c r="E170" s="6"/>
    </row>
    <row r="171">
      <c r="A171" s="4"/>
      <c r="B171" s="4"/>
      <c r="C171" s="4"/>
      <c r="D171" s="4"/>
      <c r="E171" s="6"/>
    </row>
    <row r="172">
      <c r="A172" s="4"/>
      <c r="B172" s="4"/>
      <c r="C172" s="4"/>
      <c r="D172" s="4"/>
      <c r="E172" s="6"/>
    </row>
    <row r="173">
      <c r="A173" s="4"/>
      <c r="B173" s="4"/>
      <c r="C173" s="4"/>
      <c r="D173" s="4"/>
      <c r="E173" s="6"/>
    </row>
    <row r="174">
      <c r="A174" s="4"/>
      <c r="B174" s="4"/>
      <c r="C174" s="4"/>
      <c r="D174" s="4"/>
      <c r="E174" s="6"/>
    </row>
    <row r="175">
      <c r="A175" s="4"/>
      <c r="B175" s="4"/>
      <c r="C175" s="4"/>
      <c r="D175" s="4"/>
      <c r="E175" s="6"/>
    </row>
    <row r="176">
      <c r="A176" s="4"/>
      <c r="B176" s="4"/>
      <c r="C176" s="4"/>
      <c r="D176" s="4"/>
      <c r="E176" s="6"/>
    </row>
    <row r="177">
      <c r="A177" s="4"/>
      <c r="B177" s="4"/>
      <c r="C177" s="4"/>
      <c r="D177" s="4"/>
      <c r="E177" s="6"/>
    </row>
    <row r="178">
      <c r="A178" s="4"/>
      <c r="B178" s="4"/>
      <c r="C178" s="4"/>
      <c r="D178" s="4"/>
      <c r="E178" s="6"/>
    </row>
    <row r="179">
      <c r="A179" s="4"/>
      <c r="B179" s="4"/>
      <c r="C179" s="4"/>
      <c r="D179" s="4"/>
      <c r="E179" s="6"/>
    </row>
    <row r="180">
      <c r="A180" s="4"/>
      <c r="B180" s="4"/>
      <c r="C180" s="4"/>
      <c r="D180" s="4"/>
      <c r="E180" s="6"/>
    </row>
    <row r="181">
      <c r="A181" s="4"/>
      <c r="B181" s="4"/>
      <c r="C181" s="4"/>
      <c r="D181" s="4"/>
      <c r="E181" s="6"/>
    </row>
    <row r="182">
      <c r="A182" s="4"/>
      <c r="B182" s="4"/>
      <c r="C182" s="4"/>
      <c r="D182" s="4"/>
      <c r="E182" s="6"/>
    </row>
    <row r="183">
      <c r="A183" s="4"/>
      <c r="B183" s="4"/>
      <c r="C183" s="4"/>
      <c r="D183" s="4"/>
      <c r="E183" s="6"/>
    </row>
    <row r="184">
      <c r="A184" s="4"/>
      <c r="B184" s="4"/>
      <c r="C184" s="4"/>
      <c r="D184" s="4"/>
      <c r="E184" s="6"/>
    </row>
    <row r="185">
      <c r="A185" s="4"/>
      <c r="B185" s="4"/>
      <c r="C185" s="4"/>
      <c r="D185" s="4"/>
      <c r="E185" s="6"/>
    </row>
    <row r="186">
      <c r="A186" s="4"/>
      <c r="B186" s="4"/>
      <c r="C186" s="4"/>
      <c r="D186" s="4"/>
      <c r="E186" s="6"/>
    </row>
    <row r="187">
      <c r="A187" s="4"/>
      <c r="B187" s="4"/>
      <c r="C187" s="4"/>
      <c r="D187" s="4"/>
      <c r="E187" s="6"/>
    </row>
    <row r="188">
      <c r="A188" s="4"/>
      <c r="B188" s="4"/>
      <c r="C188" s="4"/>
      <c r="D188" s="4"/>
      <c r="E188" s="6"/>
    </row>
    <row r="189">
      <c r="A189" s="4"/>
      <c r="B189" s="4"/>
      <c r="C189" s="4"/>
      <c r="D189" s="4"/>
      <c r="E189" s="6"/>
    </row>
    <row r="190">
      <c r="A190" s="4"/>
      <c r="B190" s="4"/>
      <c r="C190" s="4"/>
      <c r="D190" s="4"/>
      <c r="E190" s="6"/>
    </row>
    <row r="191">
      <c r="A191" s="4"/>
      <c r="B191" s="4"/>
      <c r="C191" s="4"/>
      <c r="D191" s="4"/>
      <c r="E191" s="6"/>
    </row>
    <row r="192">
      <c r="A192" s="4"/>
      <c r="B192" s="4"/>
      <c r="C192" s="4"/>
      <c r="D192" s="4"/>
      <c r="E192" s="6"/>
    </row>
    <row r="193">
      <c r="A193" s="4"/>
      <c r="B193" s="4"/>
      <c r="C193" s="4"/>
      <c r="D193" s="4"/>
      <c r="E193" s="6"/>
    </row>
    <row r="194">
      <c r="A194" s="4"/>
      <c r="B194" s="4"/>
      <c r="C194" s="4"/>
      <c r="D194" s="4"/>
      <c r="E194" s="6"/>
    </row>
    <row r="195">
      <c r="A195" s="4"/>
      <c r="B195" s="4"/>
      <c r="C195" s="4"/>
      <c r="D195" s="4"/>
      <c r="E195" s="6"/>
    </row>
    <row r="196">
      <c r="A196" s="4"/>
      <c r="B196" s="4"/>
      <c r="C196" s="4"/>
      <c r="D196" s="4"/>
      <c r="E196" s="6"/>
    </row>
    <row r="197">
      <c r="A197" s="4"/>
      <c r="B197" s="4"/>
      <c r="C197" s="4"/>
      <c r="D197" s="4"/>
      <c r="E197" s="6"/>
    </row>
    <row r="198">
      <c r="A198" s="4"/>
      <c r="B198" s="4"/>
      <c r="C198" s="4"/>
      <c r="D198" s="4"/>
      <c r="E198" s="6"/>
    </row>
    <row r="199">
      <c r="A199" s="4"/>
      <c r="B199" s="4"/>
      <c r="C199" s="4"/>
      <c r="D199" s="4"/>
      <c r="E199" s="6"/>
    </row>
    <row r="200">
      <c r="A200" s="4"/>
      <c r="B200" s="4"/>
      <c r="C200" s="4"/>
      <c r="D200" s="4"/>
      <c r="E200" s="6"/>
    </row>
    <row r="201">
      <c r="A201" s="4"/>
      <c r="B201" s="4"/>
      <c r="C201" s="4"/>
      <c r="D201" s="4"/>
      <c r="E201" s="5"/>
    </row>
    <row r="202">
      <c r="A202" s="4"/>
      <c r="B202" s="4"/>
      <c r="C202" s="4"/>
      <c r="D202" s="4"/>
      <c r="E202" s="6"/>
    </row>
    <row r="203">
      <c r="A203" s="4"/>
      <c r="B203" s="4"/>
      <c r="C203" s="4"/>
      <c r="D203" s="4"/>
      <c r="E203" s="6"/>
    </row>
    <row r="204">
      <c r="A204" s="4"/>
      <c r="B204" s="4"/>
      <c r="C204" s="4"/>
      <c r="D204" s="4"/>
      <c r="E204" s="6"/>
    </row>
    <row r="205">
      <c r="A205" s="4"/>
      <c r="B205" s="4"/>
      <c r="C205" s="4"/>
      <c r="D205" s="4"/>
      <c r="E205" s="6"/>
    </row>
    <row r="206">
      <c r="A206" s="4"/>
      <c r="B206" s="4"/>
      <c r="C206" s="4"/>
      <c r="D206" s="4"/>
      <c r="E206" s="6"/>
    </row>
    <row r="207">
      <c r="A207" s="4"/>
      <c r="B207" s="4"/>
      <c r="C207" s="4"/>
      <c r="D207" s="4"/>
      <c r="E207" s="6"/>
    </row>
    <row r="208">
      <c r="A208" s="4"/>
      <c r="B208" s="4"/>
      <c r="C208" s="4"/>
      <c r="D208" s="4"/>
      <c r="E208" s="6"/>
    </row>
    <row r="209">
      <c r="A209" s="4"/>
      <c r="B209" s="4"/>
      <c r="C209" s="4"/>
      <c r="D209" s="4"/>
      <c r="E209" s="6"/>
    </row>
    <row r="210">
      <c r="A210" s="4"/>
      <c r="B210" s="4"/>
      <c r="C210" s="4"/>
      <c r="D210" s="4"/>
      <c r="E210" s="6"/>
    </row>
    <row r="211">
      <c r="A211" s="4"/>
      <c r="B211" s="4"/>
      <c r="C211" s="4"/>
      <c r="D211" s="4"/>
      <c r="E211" s="6"/>
    </row>
    <row r="212">
      <c r="A212" s="4"/>
      <c r="B212" s="4"/>
      <c r="C212" s="4"/>
      <c r="D212" s="4"/>
      <c r="E212" s="6"/>
    </row>
    <row r="213">
      <c r="A213" s="4"/>
      <c r="B213" s="4"/>
      <c r="C213" s="4"/>
      <c r="D213" s="4"/>
      <c r="E213" s="6"/>
    </row>
    <row r="214">
      <c r="A214" s="4"/>
      <c r="B214" s="4"/>
      <c r="C214" s="4"/>
      <c r="D214" s="4"/>
      <c r="E214" s="6"/>
    </row>
    <row r="215">
      <c r="A215" s="4"/>
      <c r="B215" s="4"/>
      <c r="C215" s="4"/>
      <c r="D215" s="4"/>
      <c r="E215" s="6"/>
    </row>
    <row r="216">
      <c r="A216" s="4"/>
      <c r="B216" s="4"/>
      <c r="C216" s="4"/>
      <c r="D216" s="4"/>
      <c r="E216" s="6"/>
    </row>
    <row r="217">
      <c r="A217" s="4"/>
      <c r="B217" s="4"/>
      <c r="C217" s="4"/>
      <c r="D217" s="4"/>
      <c r="E217" s="6"/>
    </row>
    <row r="218">
      <c r="A218" s="4"/>
      <c r="B218" s="4"/>
      <c r="C218" s="4"/>
      <c r="D218" s="4"/>
      <c r="E218" s="6"/>
    </row>
    <row r="219">
      <c r="A219" s="4"/>
      <c r="B219" s="4"/>
      <c r="C219" s="4"/>
      <c r="D219" s="4"/>
      <c r="E219" s="6"/>
    </row>
    <row r="220">
      <c r="A220" s="4"/>
      <c r="B220" s="4"/>
      <c r="C220" s="4"/>
      <c r="D220" s="4"/>
      <c r="E220" s="6"/>
    </row>
    <row r="221">
      <c r="A221" s="4"/>
      <c r="B221" s="4"/>
      <c r="C221" s="4"/>
      <c r="D221" s="4"/>
      <c r="E221" s="6"/>
    </row>
    <row r="222">
      <c r="A222" s="4"/>
      <c r="B222" s="4"/>
      <c r="C222" s="4"/>
      <c r="D222" s="4"/>
      <c r="E222" s="6"/>
    </row>
    <row r="223">
      <c r="A223" s="4"/>
      <c r="B223" s="4"/>
      <c r="C223" s="4"/>
      <c r="D223" s="4"/>
      <c r="E223" s="6"/>
    </row>
    <row r="224">
      <c r="A224" s="4"/>
      <c r="B224" s="4"/>
      <c r="C224" s="4"/>
      <c r="D224" s="4"/>
      <c r="E224" s="6"/>
    </row>
    <row r="225">
      <c r="A225" s="4"/>
      <c r="B225" s="4"/>
      <c r="C225" s="4"/>
      <c r="D225" s="4"/>
      <c r="E225" s="6"/>
    </row>
    <row r="226">
      <c r="A226" s="4"/>
      <c r="B226" s="4"/>
      <c r="C226" s="4"/>
      <c r="D226" s="4"/>
      <c r="E226" s="6"/>
    </row>
    <row r="227">
      <c r="A227" s="4"/>
      <c r="B227" s="4"/>
      <c r="C227" s="4"/>
      <c r="D227" s="4"/>
      <c r="E227" s="6"/>
    </row>
    <row r="228">
      <c r="A228" s="4"/>
      <c r="B228" s="4"/>
      <c r="C228" s="4"/>
      <c r="D228" s="4"/>
      <c r="E228" s="6"/>
    </row>
    <row r="229">
      <c r="A229" s="4"/>
      <c r="B229" s="4"/>
      <c r="C229" s="4"/>
      <c r="D229" s="4"/>
      <c r="E229" s="6"/>
    </row>
    <row r="230">
      <c r="A230" s="4"/>
      <c r="B230" s="4"/>
      <c r="C230" s="4"/>
      <c r="D230" s="4"/>
      <c r="E230" s="6"/>
    </row>
    <row r="231">
      <c r="A231" s="4"/>
      <c r="B231" s="4"/>
      <c r="C231" s="4"/>
      <c r="D231" s="4"/>
      <c r="E231" s="6"/>
    </row>
    <row r="232">
      <c r="A232" s="4"/>
      <c r="B232" s="4"/>
      <c r="C232" s="4"/>
      <c r="D232" s="4"/>
      <c r="E232" s="6"/>
    </row>
    <row r="233">
      <c r="A233" s="4"/>
      <c r="B233" s="4"/>
      <c r="C233" s="4"/>
      <c r="D233" s="4"/>
      <c r="E233" s="6"/>
    </row>
    <row r="234">
      <c r="A234" s="4"/>
      <c r="B234" s="4"/>
      <c r="C234" s="4"/>
      <c r="D234" s="4"/>
      <c r="E234" s="6"/>
    </row>
    <row r="235">
      <c r="A235" s="4"/>
      <c r="B235" s="4"/>
      <c r="C235" s="4"/>
      <c r="D235" s="4"/>
      <c r="E235" s="6"/>
    </row>
    <row r="236">
      <c r="A236" s="4"/>
      <c r="B236" s="4"/>
      <c r="C236" s="4"/>
      <c r="D236" s="4"/>
      <c r="E236" s="6"/>
    </row>
    <row r="237">
      <c r="A237" s="4"/>
      <c r="B237" s="4"/>
      <c r="C237" s="4"/>
      <c r="D237" s="4"/>
      <c r="E237" s="6"/>
    </row>
    <row r="238">
      <c r="A238" s="4"/>
      <c r="B238" s="4"/>
      <c r="C238" s="4"/>
      <c r="D238" s="4"/>
      <c r="E238" s="6"/>
    </row>
    <row r="239">
      <c r="A239" s="4"/>
      <c r="B239" s="4"/>
      <c r="C239" s="4"/>
      <c r="D239" s="4"/>
      <c r="E239" s="6"/>
    </row>
    <row r="240">
      <c r="A240" s="4"/>
      <c r="B240" s="4"/>
      <c r="C240" s="4"/>
      <c r="D240" s="4"/>
      <c r="E240" s="6"/>
    </row>
    <row r="241">
      <c r="A241" s="4"/>
      <c r="B241" s="4"/>
      <c r="C241" s="4"/>
      <c r="D241" s="4"/>
      <c r="E241" s="6"/>
    </row>
    <row r="242">
      <c r="A242" s="4"/>
      <c r="B242" s="4"/>
      <c r="C242" s="4"/>
      <c r="D242" s="4"/>
      <c r="E242" s="6"/>
    </row>
    <row r="243">
      <c r="A243" s="4"/>
      <c r="B243" s="4"/>
      <c r="C243" s="4"/>
      <c r="D243" s="4"/>
      <c r="E243" s="6"/>
    </row>
    <row r="244">
      <c r="A244" s="4"/>
      <c r="B244" s="4"/>
      <c r="C244" s="17"/>
      <c r="D244" s="4"/>
      <c r="E244" s="6"/>
    </row>
    <row r="245">
      <c r="A245" s="4"/>
      <c r="B245" s="4"/>
      <c r="C245" s="17"/>
      <c r="D245" s="4"/>
      <c r="E245" s="6"/>
    </row>
    <row r="246">
      <c r="A246" s="4"/>
      <c r="B246" s="4"/>
      <c r="C246" s="17"/>
      <c r="D246" s="4"/>
      <c r="E246" s="6"/>
    </row>
    <row r="247">
      <c r="A247" s="4"/>
      <c r="B247" s="4"/>
      <c r="C247" s="4"/>
      <c r="D247" s="4"/>
      <c r="E247" s="6"/>
    </row>
    <row r="248">
      <c r="A248" s="4"/>
      <c r="B248" s="4"/>
      <c r="C248" s="4"/>
      <c r="D248" s="4"/>
      <c r="E248" s="6"/>
    </row>
    <row r="249">
      <c r="A249" s="4"/>
      <c r="B249" s="4"/>
      <c r="C249" s="4"/>
      <c r="D249" s="4"/>
      <c r="E249" s="6"/>
    </row>
    <row r="250">
      <c r="A250" s="4"/>
      <c r="B250" s="4"/>
      <c r="C250" s="4"/>
      <c r="D250" s="4"/>
      <c r="E250" s="6"/>
    </row>
    <row r="251">
      <c r="A251" s="4"/>
      <c r="B251" s="4"/>
      <c r="C251" s="4"/>
      <c r="D251" s="4"/>
      <c r="E251" s="6"/>
    </row>
    <row r="252">
      <c r="A252" s="4"/>
      <c r="B252" s="4"/>
      <c r="C252" s="4"/>
      <c r="D252" s="4"/>
      <c r="E252" s="6"/>
    </row>
    <row r="253">
      <c r="A253" s="4"/>
      <c r="B253" s="4"/>
      <c r="C253" s="4"/>
      <c r="D253" s="4"/>
      <c r="E253" s="6"/>
    </row>
    <row r="254">
      <c r="A254" s="4"/>
      <c r="B254" s="4"/>
      <c r="C254" s="4"/>
      <c r="D254" s="4"/>
      <c r="E254" s="6"/>
    </row>
    <row r="255">
      <c r="A255" s="4"/>
      <c r="B255" s="4"/>
      <c r="C255" s="4"/>
      <c r="D255" s="4"/>
      <c r="E255" s="6"/>
    </row>
    <row r="256">
      <c r="A256" s="4"/>
      <c r="B256" s="4"/>
      <c r="C256" s="4"/>
      <c r="D256" s="4"/>
      <c r="E256" s="6"/>
    </row>
    <row r="257">
      <c r="A257" s="4"/>
      <c r="B257" s="4"/>
      <c r="C257" s="4"/>
      <c r="D257" s="4"/>
      <c r="E257" s="6"/>
    </row>
    <row r="258">
      <c r="A258" s="4"/>
      <c r="B258" s="4"/>
      <c r="C258" s="4"/>
      <c r="D258" s="4"/>
      <c r="E258" s="6"/>
    </row>
    <row r="259">
      <c r="A259" s="4"/>
      <c r="B259" s="4"/>
      <c r="C259" s="17"/>
      <c r="D259" s="4"/>
      <c r="E259" s="6"/>
    </row>
    <row r="260">
      <c r="A260" s="4"/>
      <c r="B260" s="4"/>
      <c r="C260" s="4"/>
      <c r="D260" s="4"/>
      <c r="E260" s="6"/>
    </row>
    <row r="261">
      <c r="A261" s="4"/>
      <c r="B261" s="4"/>
      <c r="C261" s="4"/>
      <c r="D261" s="4"/>
      <c r="E261" s="6"/>
    </row>
    <row r="262">
      <c r="A262" s="33"/>
      <c r="B262" s="33"/>
      <c r="C262" s="33"/>
      <c r="D262" s="33"/>
      <c r="E262" s="33"/>
    </row>
    <row r="263">
      <c r="A263" s="33"/>
      <c r="B263" s="33"/>
      <c r="C263" s="33"/>
      <c r="D263" s="33"/>
      <c r="E263" s="33"/>
    </row>
    <row r="264">
      <c r="A264" s="33"/>
      <c r="B264" s="33"/>
      <c r="C264" s="33"/>
      <c r="D264" s="33"/>
      <c r="E264" s="33"/>
    </row>
    <row r="265">
      <c r="A265" s="33"/>
      <c r="B265" s="33"/>
      <c r="C265" s="33"/>
      <c r="D265" s="33"/>
      <c r="E265" s="33"/>
    </row>
    <row r="266">
      <c r="A266" s="33"/>
      <c r="B266" s="33"/>
      <c r="C266" s="33"/>
      <c r="D266" s="33"/>
      <c r="E266" s="33"/>
    </row>
    <row r="267">
      <c r="A267" s="33"/>
      <c r="B267" s="33"/>
      <c r="C267" s="33"/>
      <c r="D267" s="33"/>
      <c r="E267" s="33"/>
    </row>
    <row r="268">
      <c r="A268" s="33"/>
      <c r="B268" s="33"/>
      <c r="C268" s="33"/>
      <c r="D268" s="33"/>
      <c r="E268" s="33"/>
    </row>
    <row r="269">
      <c r="A269" s="33"/>
      <c r="B269" s="33"/>
      <c r="C269" s="33"/>
      <c r="D269" s="33"/>
      <c r="E269" s="33"/>
    </row>
    <row r="270">
      <c r="A270" s="33"/>
      <c r="B270" s="33"/>
      <c r="C270" s="33"/>
      <c r="D270" s="33"/>
      <c r="E270" s="33"/>
    </row>
    <row r="271">
      <c r="A271" s="33"/>
      <c r="B271" s="33"/>
      <c r="C271" s="33"/>
      <c r="D271" s="33"/>
      <c r="E271" s="33"/>
    </row>
    <row r="272">
      <c r="A272" s="33"/>
      <c r="B272" s="33"/>
      <c r="C272" s="33"/>
      <c r="D272" s="33"/>
      <c r="E272" s="33"/>
    </row>
    <row r="273">
      <c r="A273" s="33"/>
      <c r="B273" s="33"/>
      <c r="C273" s="33"/>
      <c r="D273" s="33"/>
      <c r="E273" s="33"/>
    </row>
    <row r="274">
      <c r="A274" s="33"/>
      <c r="B274" s="33"/>
      <c r="C274" s="33"/>
      <c r="D274" s="33"/>
      <c r="E274" s="33"/>
    </row>
    <row r="275">
      <c r="A275" s="33"/>
      <c r="B275" s="33"/>
      <c r="C275" s="33"/>
      <c r="D275" s="33"/>
      <c r="E275" s="33"/>
    </row>
    <row r="276">
      <c r="A276" s="33"/>
      <c r="B276" s="33"/>
      <c r="C276" s="33"/>
      <c r="D276" s="33"/>
      <c r="E276" s="33"/>
    </row>
    <row r="277">
      <c r="A277" s="33"/>
      <c r="B277" s="33"/>
      <c r="C277" s="33"/>
      <c r="D277" s="33"/>
      <c r="E277" s="33"/>
    </row>
    <row r="278">
      <c r="A278" s="33"/>
      <c r="B278" s="33"/>
      <c r="C278" s="33"/>
      <c r="D278" s="33"/>
      <c r="E278" s="33"/>
    </row>
    <row r="279">
      <c r="A279" s="33"/>
      <c r="B279" s="33"/>
      <c r="C279" s="33"/>
      <c r="D279" s="33"/>
      <c r="E279" s="33"/>
    </row>
    <row r="280">
      <c r="A280" s="33"/>
      <c r="B280" s="33"/>
      <c r="C280" s="33"/>
      <c r="D280" s="33"/>
      <c r="E280" s="33"/>
    </row>
    <row r="281">
      <c r="A281" s="33"/>
      <c r="B281" s="33"/>
      <c r="C281" s="33"/>
      <c r="D281" s="33"/>
      <c r="E281" s="33"/>
    </row>
    <row r="282">
      <c r="A282" s="33"/>
      <c r="B282" s="33"/>
      <c r="C282" s="33"/>
      <c r="D282" s="33"/>
      <c r="E282" s="33"/>
    </row>
    <row r="283">
      <c r="A283" s="33"/>
      <c r="B283" s="33"/>
      <c r="C283" s="33"/>
      <c r="D283" s="33"/>
      <c r="E283" s="33"/>
    </row>
    <row r="284">
      <c r="A284" s="33"/>
      <c r="B284" s="33"/>
      <c r="C284" s="33"/>
      <c r="D284" s="33"/>
      <c r="E284" s="33"/>
    </row>
    <row r="285">
      <c r="A285" s="33"/>
      <c r="B285" s="33"/>
      <c r="C285" s="33"/>
      <c r="D285" s="33"/>
      <c r="E285" s="33"/>
    </row>
    <row r="286">
      <c r="A286" s="33"/>
      <c r="B286" s="33"/>
      <c r="C286" s="33"/>
      <c r="D286" s="33"/>
      <c r="E286" s="33"/>
    </row>
    <row r="287">
      <c r="A287" s="33"/>
      <c r="B287" s="33"/>
      <c r="C287" s="33"/>
      <c r="D287" s="33"/>
      <c r="E287" s="33"/>
    </row>
    <row r="288">
      <c r="A288" s="33"/>
      <c r="B288" s="33"/>
      <c r="C288" s="33"/>
      <c r="D288" s="33"/>
      <c r="E288" s="33"/>
    </row>
    <row r="289">
      <c r="A289" s="33"/>
      <c r="B289" s="33"/>
      <c r="C289" s="33"/>
      <c r="D289" s="33"/>
      <c r="E289" s="33"/>
    </row>
    <row r="290">
      <c r="A290" s="33"/>
      <c r="B290" s="33"/>
      <c r="C290" s="33"/>
      <c r="D290" s="33"/>
      <c r="E290" s="33"/>
    </row>
    <row r="291">
      <c r="A291" s="33"/>
      <c r="B291" s="33"/>
      <c r="C291" s="33"/>
      <c r="D291" s="33"/>
      <c r="E291" s="33"/>
    </row>
    <row r="292">
      <c r="A292" s="33"/>
      <c r="B292" s="33"/>
      <c r="C292" s="33"/>
      <c r="D292" s="33"/>
      <c r="E292" s="33"/>
    </row>
    <row r="293">
      <c r="A293" s="33"/>
      <c r="B293" s="33"/>
      <c r="C293" s="33"/>
      <c r="D293" s="33"/>
      <c r="E293" s="33"/>
    </row>
    <row r="294">
      <c r="A294" s="33"/>
      <c r="B294" s="33"/>
      <c r="C294" s="33"/>
      <c r="D294" s="33"/>
      <c r="E294" s="33"/>
    </row>
    <row r="295">
      <c r="A295" s="33"/>
      <c r="B295" s="33"/>
      <c r="C295" s="33"/>
      <c r="D295" s="33"/>
      <c r="E295" s="33"/>
    </row>
    <row r="296">
      <c r="A296" s="33"/>
      <c r="B296" s="33"/>
      <c r="C296" s="33"/>
      <c r="D296" s="33"/>
      <c r="E296" s="33"/>
    </row>
    <row r="297">
      <c r="A297" s="33"/>
      <c r="B297" s="33"/>
      <c r="C297" s="33"/>
      <c r="D297" s="33"/>
      <c r="E297" s="33"/>
    </row>
    <row r="298">
      <c r="A298" s="33"/>
      <c r="B298" s="33"/>
      <c r="C298" s="33"/>
      <c r="D298" s="33"/>
      <c r="E298" s="33"/>
    </row>
    <row r="299">
      <c r="A299" s="33"/>
      <c r="B299" s="33"/>
      <c r="C299" s="33"/>
      <c r="D299" s="33"/>
      <c r="E299" s="33"/>
    </row>
    <row r="300">
      <c r="A300" s="33"/>
      <c r="B300" s="33"/>
      <c r="C300" s="33"/>
      <c r="D300" s="33"/>
      <c r="E300" s="33"/>
    </row>
    <row r="301">
      <c r="A301" s="33"/>
      <c r="B301" s="33"/>
      <c r="C301" s="33"/>
      <c r="D301" s="33"/>
      <c r="E301" s="33"/>
    </row>
    <row r="302">
      <c r="A302" s="33"/>
      <c r="B302" s="33"/>
      <c r="C302" s="33"/>
      <c r="D302" s="33"/>
      <c r="E302" s="33"/>
    </row>
    <row r="303">
      <c r="A303" s="33"/>
      <c r="B303" s="33"/>
      <c r="C303" s="33"/>
      <c r="D303" s="33"/>
      <c r="E303" s="33"/>
    </row>
    <row r="304">
      <c r="A304" s="33"/>
      <c r="B304" s="33"/>
      <c r="C304" s="33"/>
      <c r="D304" s="33"/>
      <c r="E304" s="33"/>
    </row>
    <row r="305">
      <c r="A305" s="33"/>
      <c r="B305" s="33"/>
      <c r="C305" s="33"/>
      <c r="D305" s="33"/>
      <c r="E305" s="33"/>
    </row>
    <row r="306">
      <c r="A306" s="33"/>
      <c r="B306" s="33"/>
      <c r="C306" s="33"/>
      <c r="D306" s="33"/>
      <c r="E306" s="33"/>
    </row>
    <row r="307">
      <c r="A307" s="33"/>
      <c r="B307" s="33"/>
      <c r="C307" s="33"/>
      <c r="D307" s="33"/>
      <c r="E307" s="33"/>
    </row>
    <row r="308">
      <c r="A308" s="33"/>
      <c r="B308" s="33"/>
      <c r="C308" s="33"/>
      <c r="D308" s="33"/>
      <c r="E308" s="33"/>
    </row>
    <row r="309">
      <c r="A309" s="33"/>
      <c r="B309" s="33"/>
      <c r="C309" s="33"/>
      <c r="D309" s="33"/>
      <c r="E309" s="33"/>
    </row>
    <row r="310">
      <c r="A310" s="33"/>
      <c r="B310" s="33"/>
      <c r="C310" s="33"/>
      <c r="D310" s="33"/>
      <c r="E310" s="33"/>
    </row>
    <row r="311">
      <c r="A311" s="33"/>
      <c r="B311" s="33"/>
      <c r="C311" s="33"/>
      <c r="D311" s="33"/>
      <c r="E311" s="33"/>
    </row>
    <row r="312">
      <c r="A312" s="33"/>
      <c r="B312" s="33"/>
      <c r="C312" s="33"/>
      <c r="D312" s="33"/>
      <c r="E312" s="33"/>
    </row>
    <row r="313">
      <c r="A313" s="33"/>
      <c r="B313" s="33"/>
      <c r="C313" s="33"/>
      <c r="D313" s="33"/>
      <c r="E313" s="33"/>
    </row>
    <row r="314">
      <c r="A314" s="33"/>
      <c r="B314" s="33"/>
      <c r="C314" s="33"/>
      <c r="D314" s="33"/>
      <c r="E314" s="33"/>
    </row>
    <row r="315">
      <c r="A315" s="33"/>
      <c r="B315" s="33"/>
      <c r="C315" s="33"/>
      <c r="D315" s="33"/>
      <c r="E315" s="33"/>
    </row>
    <row r="316">
      <c r="A316" s="33"/>
      <c r="B316" s="33"/>
      <c r="C316" s="33"/>
      <c r="D316" s="33"/>
      <c r="E316" s="33"/>
    </row>
    <row r="317">
      <c r="A317" s="33"/>
      <c r="B317" s="33"/>
      <c r="C317" s="33"/>
      <c r="D317" s="33"/>
      <c r="E317" s="33"/>
    </row>
    <row r="318">
      <c r="A318" s="33"/>
      <c r="B318" s="33"/>
      <c r="C318" s="33"/>
      <c r="D318" s="33"/>
      <c r="E318" s="33"/>
    </row>
    <row r="319">
      <c r="A319" s="33"/>
      <c r="B319" s="33"/>
      <c r="C319" s="33"/>
      <c r="D319" s="33"/>
      <c r="E319" s="33"/>
    </row>
    <row r="320">
      <c r="A320" s="33"/>
      <c r="B320" s="33"/>
      <c r="C320" s="33"/>
      <c r="D320" s="33"/>
      <c r="E320" s="33"/>
    </row>
    <row r="321">
      <c r="A321" s="33"/>
      <c r="B321" s="33"/>
      <c r="C321" s="33"/>
      <c r="D321" s="33"/>
      <c r="E321" s="33"/>
    </row>
    <row r="322">
      <c r="A322" s="33"/>
      <c r="B322" s="33"/>
      <c r="C322" s="33"/>
      <c r="D322" s="33"/>
      <c r="E322" s="33"/>
    </row>
    <row r="323">
      <c r="A323" s="33"/>
      <c r="B323" s="33"/>
      <c r="C323" s="33"/>
      <c r="D323" s="33"/>
      <c r="E323" s="33"/>
    </row>
    <row r="324">
      <c r="A324" s="33"/>
      <c r="B324" s="33"/>
      <c r="C324" s="33"/>
      <c r="D324" s="33"/>
      <c r="E324" s="33"/>
    </row>
    <row r="325">
      <c r="A325" s="33"/>
      <c r="B325" s="33"/>
      <c r="C325" s="33"/>
      <c r="D325" s="33"/>
      <c r="E325" s="33"/>
    </row>
    <row r="326">
      <c r="A326" s="33"/>
      <c r="B326" s="33"/>
      <c r="C326" s="33"/>
      <c r="D326" s="33"/>
      <c r="E326" s="33"/>
    </row>
    <row r="327">
      <c r="A327" s="33"/>
      <c r="B327" s="33"/>
      <c r="C327" s="33"/>
      <c r="D327" s="33"/>
      <c r="E327" s="33"/>
    </row>
    <row r="328">
      <c r="A328" s="33"/>
      <c r="B328" s="33"/>
      <c r="C328" s="33"/>
      <c r="D328" s="33"/>
      <c r="E328" s="33"/>
    </row>
    <row r="329">
      <c r="A329" s="33"/>
      <c r="B329" s="33"/>
      <c r="C329" s="33"/>
      <c r="D329" s="33"/>
      <c r="E329" s="33"/>
    </row>
    <row r="330">
      <c r="A330" s="33"/>
      <c r="B330" s="33"/>
      <c r="C330" s="33"/>
      <c r="D330" s="33"/>
      <c r="E330" s="33"/>
    </row>
    <row r="331">
      <c r="A331" s="33"/>
      <c r="B331" s="33"/>
      <c r="C331" s="33"/>
      <c r="D331" s="33"/>
      <c r="E331" s="33"/>
    </row>
    <row r="332">
      <c r="A332" s="33"/>
      <c r="B332" s="33"/>
      <c r="C332" s="33"/>
      <c r="D332" s="33"/>
      <c r="E332" s="33"/>
    </row>
    <row r="333">
      <c r="A333" s="33"/>
      <c r="B333" s="33"/>
      <c r="C333" s="33"/>
      <c r="D333" s="33"/>
      <c r="E333" s="33"/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7"/>
    <hyperlink r:id="rId86" ref="E88"/>
    <hyperlink r:id="rId87" ref="E89"/>
    <hyperlink r:id="rId88" ref="E90"/>
    <hyperlink r:id="rId89" ref="E91"/>
    <hyperlink r:id="rId90" ref="E92"/>
    <hyperlink r:id="rId91" ref="E93"/>
    <hyperlink r:id="rId92" ref="E94"/>
    <hyperlink r:id="rId93" ref="E95"/>
    <hyperlink r:id="rId94" ref="E96"/>
    <hyperlink r:id="rId95" ref="E97"/>
    <hyperlink r:id="rId96" ref="E98"/>
    <hyperlink r:id="rId97" ref="E99"/>
    <hyperlink r:id="rId98" ref="E100"/>
    <hyperlink r:id="rId99" ref="E101"/>
    <hyperlink r:id="rId100" ref="E102"/>
    <hyperlink r:id="rId101" ref="E103"/>
    <hyperlink r:id="rId102" ref="E104"/>
    <hyperlink r:id="rId103" ref="E105"/>
    <hyperlink r:id="rId104" ref="E106"/>
    <hyperlink r:id="rId105" ref="E107"/>
    <hyperlink r:id="rId106" ref="E108"/>
    <hyperlink r:id="rId107" ref="E109"/>
    <hyperlink r:id="rId108" ref="E110"/>
    <hyperlink r:id="rId109" ref="E111"/>
    <hyperlink r:id="rId110" ref="E112"/>
    <hyperlink r:id="rId111" ref="E113"/>
  </hyperlinks>
  <drawing r:id="rId11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18.63"/>
    <col customWidth="1" min="3" max="3" width="32.25"/>
    <col customWidth="1" min="5" max="5" width="49.63"/>
  </cols>
  <sheetData>
    <row r="1">
      <c r="A1" s="1" t="s">
        <v>0</v>
      </c>
      <c r="B1" s="1" t="s">
        <v>1</v>
      </c>
      <c r="C1" s="23" t="s">
        <v>2</v>
      </c>
      <c r="D1" s="1" t="s">
        <v>3</v>
      </c>
      <c r="E1" s="23" t="s">
        <v>4</v>
      </c>
      <c r="F1" s="49" t="s">
        <v>1659</v>
      </c>
      <c r="G1" s="50"/>
      <c r="H1" s="51"/>
    </row>
    <row r="2">
      <c r="A2" s="4" t="s">
        <v>1660</v>
      </c>
      <c r="B2" s="4" t="s">
        <v>1661</v>
      </c>
      <c r="C2" s="24" t="s">
        <v>1662</v>
      </c>
      <c r="D2" s="4" t="s">
        <v>12</v>
      </c>
      <c r="E2" s="35" t="s">
        <v>1663</v>
      </c>
      <c r="F2" s="52"/>
      <c r="G2" s="53"/>
    </row>
    <row r="3">
      <c r="A3" s="4" t="s">
        <v>1660</v>
      </c>
      <c r="B3" s="4" t="s">
        <v>1661</v>
      </c>
      <c r="C3" s="24" t="s">
        <v>1664</v>
      </c>
      <c r="D3" s="4" t="s">
        <v>14</v>
      </c>
      <c r="E3" s="35" t="s">
        <v>1665</v>
      </c>
      <c r="F3" s="52"/>
      <c r="G3" s="53"/>
    </row>
    <row r="4">
      <c r="A4" s="4" t="s">
        <v>1660</v>
      </c>
      <c r="B4" s="4" t="s">
        <v>1661</v>
      </c>
      <c r="C4" s="24" t="s">
        <v>1664</v>
      </c>
      <c r="D4" s="4" t="s">
        <v>12</v>
      </c>
      <c r="E4" s="35" t="s">
        <v>1666</v>
      </c>
      <c r="F4" s="52"/>
      <c r="G4" s="53"/>
    </row>
    <row r="5">
      <c r="A5" s="4" t="s">
        <v>1660</v>
      </c>
      <c r="B5" s="4" t="s">
        <v>1661</v>
      </c>
      <c r="C5" s="24" t="s">
        <v>1664</v>
      </c>
      <c r="D5" s="4" t="s">
        <v>12</v>
      </c>
      <c r="E5" s="35" t="s">
        <v>1663</v>
      </c>
      <c r="F5" s="52"/>
      <c r="G5" s="53"/>
    </row>
    <row r="6">
      <c r="A6" s="4" t="s">
        <v>1660</v>
      </c>
      <c r="B6" s="4" t="s">
        <v>1667</v>
      </c>
      <c r="C6" s="24" t="s">
        <v>1668</v>
      </c>
      <c r="D6" s="4" t="s">
        <v>14</v>
      </c>
      <c r="E6" s="35" t="s">
        <v>1669</v>
      </c>
      <c r="F6" s="52"/>
      <c r="G6" s="53"/>
    </row>
    <row r="7">
      <c r="A7" s="4" t="s">
        <v>1660</v>
      </c>
      <c r="B7" s="4" t="s">
        <v>1667</v>
      </c>
      <c r="C7" s="24" t="s">
        <v>1668</v>
      </c>
      <c r="D7" s="4" t="s">
        <v>60</v>
      </c>
      <c r="E7" s="41" t="s">
        <v>1670</v>
      </c>
      <c r="F7" s="52"/>
      <c r="G7" s="53"/>
    </row>
    <row r="8">
      <c r="A8" s="4" t="s">
        <v>1660</v>
      </c>
      <c r="B8" s="4" t="s">
        <v>1667</v>
      </c>
      <c r="C8" s="24" t="s">
        <v>1668</v>
      </c>
      <c r="D8" s="4" t="s">
        <v>12</v>
      </c>
      <c r="E8" s="35" t="s">
        <v>1671</v>
      </c>
      <c r="F8" s="52"/>
      <c r="G8" s="53"/>
    </row>
    <row r="9">
      <c r="A9" s="4" t="s">
        <v>1660</v>
      </c>
      <c r="B9" s="4" t="s">
        <v>1667</v>
      </c>
      <c r="C9" s="24" t="s">
        <v>1668</v>
      </c>
      <c r="D9" s="4" t="s">
        <v>23</v>
      </c>
      <c r="E9" s="41" t="s">
        <v>1672</v>
      </c>
      <c r="F9" s="52"/>
      <c r="G9" s="53"/>
    </row>
    <row r="10">
      <c r="A10" s="4" t="s">
        <v>1660</v>
      </c>
      <c r="B10" s="4" t="s">
        <v>1673</v>
      </c>
      <c r="C10" s="24" t="s">
        <v>1674</v>
      </c>
      <c r="D10" s="4" t="s">
        <v>14</v>
      </c>
      <c r="E10" s="35" t="s">
        <v>1675</v>
      </c>
      <c r="F10" s="52"/>
      <c r="G10" s="53"/>
    </row>
    <row r="11">
      <c r="A11" s="4" t="s">
        <v>1660</v>
      </c>
      <c r="B11" s="4" t="s">
        <v>1676</v>
      </c>
      <c r="C11" s="24" t="s">
        <v>1677</v>
      </c>
      <c r="D11" s="4" t="s">
        <v>12</v>
      </c>
      <c r="E11" s="35" t="s">
        <v>1678</v>
      </c>
      <c r="F11" s="52"/>
      <c r="G11" s="53"/>
    </row>
    <row r="12">
      <c r="A12" s="4" t="s">
        <v>1660</v>
      </c>
      <c r="B12" s="4" t="s">
        <v>1676</v>
      </c>
      <c r="C12" s="24" t="s">
        <v>1679</v>
      </c>
      <c r="D12" s="4" t="s">
        <v>14</v>
      </c>
      <c r="E12" s="41" t="s">
        <v>1680</v>
      </c>
      <c r="F12" s="52"/>
      <c r="G12" s="53"/>
    </row>
    <row r="13">
      <c r="A13" s="4" t="s">
        <v>1660</v>
      </c>
      <c r="B13" s="4" t="s">
        <v>1676</v>
      </c>
      <c r="C13" s="24" t="s">
        <v>1679</v>
      </c>
      <c r="D13" s="4" t="s">
        <v>19</v>
      </c>
      <c r="E13" s="35" t="s">
        <v>1681</v>
      </c>
      <c r="F13" s="52"/>
      <c r="G13" s="53"/>
    </row>
    <row r="14">
      <c r="A14" s="4" t="s">
        <v>1660</v>
      </c>
      <c r="B14" s="4" t="s">
        <v>1676</v>
      </c>
      <c r="C14" s="24" t="s">
        <v>1679</v>
      </c>
      <c r="D14" s="4" t="s">
        <v>12</v>
      </c>
      <c r="E14" s="35" t="s">
        <v>1682</v>
      </c>
      <c r="F14" s="52"/>
      <c r="G14" s="53"/>
    </row>
    <row r="15">
      <c r="A15" s="4" t="s">
        <v>1660</v>
      </c>
      <c r="B15" s="4" t="s">
        <v>1676</v>
      </c>
      <c r="C15" s="24" t="s">
        <v>1679</v>
      </c>
      <c r="D15" s="4" t="s">
        <v>23</v>
      </c>
      <c r="E15" s="35" t="s">
        <v>1683</v>
      </c>
      <c r="F15" s="52"/>
      <c r="G15" s="53"/>
    </row>
    <row r="16">
      <c r="A16" s="4" t="s">
        <v>1660</v>
      </c>
      <c r="B16" s="4" t="s">
        <v>1676</v>
      </c>
      <c r="C16" s="24" t="s">
        <v>1684</v>
      </c>
      <c r="D16" s="4" t="s">
        <v>14</v>
      </c>
      <c r="E16" s="41" t="s">
        <v>1685</v>
      </c>
      <c r="F16" s="52"/>
      <c r="G16" s="53"/>
    </row>
    <row r="17">
      <c r="A17" s="4" t="s">
        <v>1660</v>
      </c>
      <c r="B17" s="4" t="s">
        <v>1676</v>
      </c>
      <c r="C17" s="24" t="s">
        <v>1684</v>
      </c>
      <c r="D17" s="4" t="s">
        <v>19</v>
      </c>
      <c r="E17" s="35" t="s">
        <v>1686</v>
      </c>
      <c r="F17" s="52"/>
      <c r="G17" s="53"/>
    </row>
    <row r="18">
      <c r="A18" s="4" t="s">
        <v>1660</v>
      </c>
      <c r="B18" s="4" t="s">
        <v>1676</v>
      </c>
      <c r="C18" s="24" t="s">
        <v>1684</v>
      </c>
      <c r="D18" s="4" t="s">
        <v>12</v>
      </c>
      <c r="E18" s="35" t="s">
        <v>1687</v>
      </c>
      <c r="F18" s="52"/>
      <c r="G18" s="53"/>
    </row>
    <row r="19">
      <c r="A19" s="4" t="s">
        <v>1660</v>
      </c>
      <c r="B19" s="4" t="s">
        <v>1676</v>
      </c>
      <c r="C19" s="24" t="s">
        <v>1688</v>
      </c>
      <c r="D19" s="4" t="s">
        <v>12</v>
      </c>
      <c r="E19" s="35" t="s">
        <v>1689</v>
      </c>
      <c r="F19" s="52"/>
      <c r="G19" s="53"/>
    </row>
    <row r="20">
      <c r="A20" s="4" t="s">
        <v>1660</v>
      </c>
      <c r="B20" s="4" t="s">
        <v>1676</v>
      </c>
      <c r="C20" s="24" t="s">
        <v>1684</v>
      </c>
      <c r="D20" s="4" t="s">
        <v>23</v>
      </c>
      <c r="E20" s="54" t="s">
        <v>1690</v>
      </c>
      <c r="F20" s="52"/>
      <c r="G20" s="53"/>
    </row>
    <row r="21">
      <c r="A21" s="4" t="s">
        <v>1660</v>
      </c>
      <c r="B21" s="4" t="s">
        <v>1676</v>
      </c>
      <c r="C21" s="24" t="s">
        <v>1691</v>
      </c>
      <c r="D21" s="4" t="s">
        <v>14</v>
      </c>
      <c r="E21" s="41" t="s">
        <v>1692</v>
      </c>
      <c r="F21" s="52"/>
      <c r="G21" s="53"/>
    </row>
    <row r="22">
      <c r="A22" s="4" t="s">
        <v>1660</v>
      </c>
      <c r="B22" s="4" t="s">
        <v>1676</v>
      </c>
      <c r="C22" s="24" t="s">
        <v>1691</v>
      </c>
      <c r="D22" s="4" t="s">
        <v>19</v>
      </c>
      <c r="E22" s="35" t="s">
        <v>1693</v>
      </c>
      <c r="F22" s="52"/>
      <c r="G22" s="53"/>
    </row>
    <row r="23">
      <c r="A23" s="4" t="s">
        <v>1660</v>
      </c>
      <c r="B23" s="4" t="s">
        <v>1676</v>
      </c>
      <c r="C23" s="24" t="s">
        <v>1691</v>
      </c>
      <c r="D23" s="4" t="s">
        <v>23</v>
      </c>
      <c r="E23" s="55" t="s">
        <v>1694</v>
      </c>
      <c r="F23" s="52"/>
      <c r="G23" s="53"/>
    </row>
    <row r="24">
      <c r="A24" s="4" t="s">
        <v>1660</v>
      </c>
      <c r="B24" s="4" t="s">
        <v>1676</v>
      </c>
      <c r="C24" s="24" t="s">
        <v>1691</v>
      </c>
      <c r="D24" s="4" t="s">
        <v>12</v>
      </c>
      <c r="E24" s="35" t="s">
        <v>1695</v>
      </c>
      <c r="F24" s="52"/>
      <c r="G24" s="53"/>
    </row>
    <row r="25">
      <c r="A25" s="4" t="s">
        <v>1660</v>
      </c>
      <c r="B25" s="4" t="s">
        <v>1676</v>
      </c>
      <c r="C25" s="24" t="s">
        <v>1696</v>
      </c>
      <c r="D25" s="4" t="s">
        <v>14</v>
      </c>
      <c r="E25" s="41" t="s">
        <v>1697</v>
      </c>
      <c r="F25" s="52"/>
      <c r="G25" s="53"/>
    </row>
    <row r="26">
      <c r="A26" s="4" t="s">
        <v>1660</v>
      </c>
      <c r="B26" s="4" t="s">
        <v>1676</v>
      </c>
      <c r="C26" s="24" t="s">
        <v>1696</v>
      </c>
      <c r="D26" s="4" t="s">
        <v>19</v>
      </c>
      <c r="E26" s="56" t="s">
        <v>1698</v>
      </c>
      <c r="F26" s="52"/>
      <c r="G26" s="53"/>
    </row>
    <row r="27">
      <c r="A27" s="4" t="s">
        <v>1660</v>
      </c>
      <c r="B27" s="4" t="s">
        <v>1676</v>
      </c>
      <c r="C27" s="24" t="s">
        <v>1696</v>
      </c>
      <c r="D27" s="4" t="s">
        <v>12</v>
      </c>
      <c r="E27" s="35" t="s">
        <v>1699</v>
      </c>
      <c r="F27" s="52"/>
      <c r="G27" s="53"/>
    </row>
    <row r="28">
      <c r="A28" s="4" t="s">
        <v>1660</v>
      </c>
      <c r="B28" s="4" t="s">
        <v>1676</v>
      </c>
      <c r="C28" s="24" t="s">
        <v>1696</v>
      </c>
      <c r="D28" s="4" t="s">
        <v>8</v>
      </c>
      <c r="E28" s="41" t="s">
        <v>1700</v>
      </c>
      <c r="F28" s="52"/>
      <c r="G28" s="53"/>
    </row>
    <row r="29">
      <c r="A29" s="4" t="s">
        <v>1660</v>
      </c>
      <c r="B29" s="4" t="s">
        <v>1676</v>
      </c>
      <c r="C29" s="24" t="s">
        <v>1696</v>
      </c>
      <c r="D29" s="4" t="s">
        <v>60</v>
      </c>
      <c r="E29" s="41" t="s">
        <v>1701</v>
      </c>
      <c r="F29" s="52"/>
      <c r="G29" s="53"/>
    </row>
    <row r="30">
      <c r="A30" s="4" t="s">
        <v>1660</v>
      </c>
      <c r="B30" s="4" t="s">
        <v>1676</v>
      </c>
      <c r="C30" s="24" t="s">
        <v>1696</v>
      </c>
      <c r="D30" s="4" t="s">
        <v>23</v>
      </c>
      <c r="E30" s="41" t="s">
        <v>1702</v>
      </c>
      <c r="F30" s="52"/>
      <c r="G30" s="53"/>
    </row>
    <row r="31">
      <c r="A31" s="4" t="s">
        <v>1660</v>
      </c>
      <c r="B31" s="4" t="s">
        <v>1676</v>
      </c>
      <c r="C31" s="24" t="s">
        <v>1674</v>
      </c>
      <c r="D31" s="4" t="s">
        <v>14</v>
      </c>
      <c r="E31" s="35" t="s">
        <v>1703</v>
      </c>
      <c r="F31" s="52"/>
      <c r="G31" s="53"/>
    </row>
    <row r="32">
      <c r="A32" s="4" t="s">
        <v>1660</v>
      </c>
      <c r="B32" s="4" t="s">
        <v>1676</v>
      </c>
      <c r="C32" s="24" t="s">
        <v>1674</v>
      </c>
      <c r="D32" s="4" t="s">
        <v>19</v>
      </c>
      <c r="E32" s="35" t="s">
        <v>1704</v>
      </c>
      <c r="F32" s="52"/>
      <c r="G32" s="53"/>
    </row>
    <row r="33">
      <c r="A33" s="4" t="s">
        <v>1660</v>
      </c>
      <c r="B33" s="4" t="s">
        <v>1676</v>
      </c>
      <c r="C33" s="24" t="s">
        <v>1674</v>
      </c>
      <c r="D33" s="4" t="s">
        <v>12</v>
      </c>
      <c r="E33" s="35" t="s">
        <v>1705</v>
      </c>
      <c r="F33" s="52"/>
      <c r="G33" s="53"/>
    </row>
    <row r="34">
      <c r="A34" s="4" t="s">
        <v>1660</v>
      </c>
      <c r="B34" s="4" t="s">
        <v>1676</v>
      </c>
      <c r="C34" s="24" t="s">
        <v>1674</v>
      </c>
      <c r="D34" s="4" t="s">
        <v>60</v>
      </c>
      <c r="E34" s="35" t="s">
        <v>1706</v>
      </c>
      <c r="F34" s="52"/>
      <c r="G34" s="53"/>
    </row>
    <row r="35">
      <c r="A35" s="4" t="s">
        <v>1660</v>
      </c>
      <c r="B35" s="4" t="s">
        <v>1676</v>
      </c>
      <c r="C35" s="24" t="s">
        <v>1674</v>
      </c>
      <c r="D35" s="4" t="s">
        <v>23</v>
      </c>
      <c r="E35" s="41" t="s">
        <v>1707</v>
      </c>
      <c r="F35" s="52"/>
      <c r="G35" s="53"/>
    </row>
    <row r="36">
      <c r="A36" s="4" t="s">
        <v>1660</v>
      </c>
      <c r="B36" s="4" t="s">
        <v>1708</v>
      </c>
      <c r="C36" s="24" t="s">
        <v>1709</v>
      </c>
      <c r="D36" s="4" t="s">
        <v>14</v>
      </c>
      <c r="E36" s="41" t="s">
        <v>1710</v>
      </c>
      <c r="F36" s="52"/>
      <c r="G36" s="53"/>
    </row>
    <row r="37">
      <c r="A37" s="4" t="s">
        <v>1660</v>
      </c>
      <c r="B37" s="4" t="s">
        <v>1708</v>
      </c>
      <c r="C37" s="24" t="s">
        <v>1709</v>
      </c>
      <c r="D37" s="4" t="s">
        <v>19</v>
      </c>
      <c r="E37" s="35" t="s">
        <v>1711</v>
      </c>
      <c r="F37" s="52"/>
      <c r="G37" s="53"/>
    </row>
    <row r="38">
      <c r="A38" s="4" t="s">
        <v>1660</v>
      </c>
      <c r="B38" s="4" t="s">
        <v>1708</v>
      </c>
      <c r="C38" s="24" t="s">
        <v>1709</v>
      </c>
      <c r="D38" s="4" t="s">
        <v>12</v>
      </c>
      <c r="E38" s="35" t="s">
        <v>1712</v>
      </c>
      <c r="F38" s="52"/>
      <c r="G38" s="53"/>
    </row>
    <row r="39">
      <c r="A39" s="4" t="s">
        <v>1660</v>
      </c>
      <c r="B39" s="4" t="s">
        <v>1708</v>
      </c>
      <c r="C39" s="24" t="s">
        <v>1713</v>
      </c>
      <c r="D39" s="4" t="s">
        <v>14</v>
      </c>
      <c r="E39" s="41" t="s">
        <v>1714</v>
      </c>
      <c r="F39" s="52"/>
      <c r="G39" s="53"/>
    </row>
    <row r="40">
      <c r="A40" s="4" t="s">
        <v>1660</v>
      </c>
      <c r="B40" s="4" t="s">
        <v>1708</v>
      </c>
      <c r="C40" s="24" t="s">
        <v>1713</v>
      </c>
      <c r="D40" s="4" t="s">
        <v>19</v>
      </c>
      <c r="E40" s="35" t="s">
        <v>1715</v>
      </c>
      <c r="F40" s="52"/>
      <c r="G40" s="53"/>
    </row>
    <row r="41">
      <c r="A41" s="4" t="s">
        <v>1660</v>
      </c>
      <c r="B41" s="4" t="s">
        <v>1708</v>
      </c>
      <c r="C41" s="24" t="s">
        <v>1713</v>
      </c>
      <c r="D41" s="4" t="s">
        <v>19</v>
      </c>
      <c r="E41" s="35" t="s">
        <v>1716</v>
      </c>
      <c r="F41" s="52"/>
      <c r="G41" s="53"/>
    </row>
    <row r="42">
      <c r="A42" s="4" t="s">
        <v>1660</v>
      </c>
      <c r="B42" s="4" t="s">
        <v>1708</v>
      </c>
      <c r="C42" s="24" t="s">
        <v>1713</v>
      </c>
      <c r="D42" s="4" t="s">
        <v>12</v>
      </c>
      <c r="E42" s="35" t="s">
        <v>1717</v>
      </c>
      <c r="F42" s="52"/>
      <c r="G42" s="53"/>
    </row>
    <row r="43">
      <c r="A43" s="4" t="s">
        <v>1660</v>
      </c>
      <c r="B43" s="4" t="s">
        <v>1708</v>
      </c>
      <c r="C43" s="24" t="s">
        <v>1713</v>
      </c>
      <c r="D43" s="4" t="s">
        <v>23</v>
      </c>
      <c r="E43" s="35" t="s">
        <v>1718</v>
      </c>
      <c r="F43" s="52"/>
      <c r="G43" s="53"/>
    </row>
    <row r="44">
      <c r="A44" s="4" t="s">
        <v>1660</v>
      </c>
      <c r="B44" s="4" t="s">
        <v>1719</v>
      </c>
      <c r="C44" s="24" t="s">
        <v>1720</v>
      </c>
      <c r="D44" s="4" t="s">
        <v>14</v>
      </c>
      <c r="E44" s="41" t="s">
        <v>1721</v>
      </c>
      <c r="F44" s="52"/>
      <c r="G44" s="53"/>
    </row>
    <row r="45">
      <c r="A45" s="4" t="s">
        <v>1660</v>
      </c>
      <c r="B45" s="4" t="s">
        <v>1719</v>
      </c>
      <c r="C45" s="24" t="s">
        <v>1720</v>
      </c>
      <c r="D45" s="4" t="s">
        <v>19</v>
      </c>
      <c r="E45" s="35" t="s">
        <v>1722</v>
      </c>
      <c r="F45" s="52"/>
      <c r="G45" s="53"/>
    </row>
    <row r="46">
      <c r="A46" s="4" t="s">
        <v>1660</v>
      </c>
      <c r="B46" s="4" t="s">
        <v>1719</v>
      </c>
      <c r="C46" s="24" t="s">
        <v>1720</v>
      </c>
      <c r="D46" s="4" t="s">
        <v>12</v>
      </c>
      <c r="E46" s="35" t="s">
        <v>1723</v>
      </c>
      <c r="F46" s="52"/>
      <c r="G46" s="53"/>
    </row>
    <row r="47">
      <c r="A47" s="4" t="s">
        <v>1660</v>
      </c>
      <c r="B47" s="4" t="s">
        <v>1719</v>
      </c>
      <c r="C47" s="24" t="s">
        <v>1720</v>
      </c>
      <c r="D47" s="4" t="s">
        <v>1223</v>
      </c>
      <c r="E47" s="41" t="s">
        <v>1724</v>
      </c>
      <c r="F47" s="52"/>
      <c r="G47" s="53"/>
    </row>
    <row r="48">
      <c r="A48" s="4" t="s">
        <v>1660</v>
      </c>
      <c r="B48" s="4" t="s">
        <v>1719</v>
      </c>
      <c r="C48" s="24" t="s">
        <v>1720</v>
      </c>
      <c r="D48" s="4" t="s">
        <v>23</v>
      </c>
      <c r="E48" s="41" t="s">
        <v>1725</v>
      </c>
      <c r="F48" s="52"/>
      <c r="G48" s="53"/>
    </row>
    <row r="49">
      <c r="A49" s="4" t="s">
        <v>1660</v>
      </c>
      <c r="B49" s="4" t="s">
        <v>1726</v>
      </c>
      <c r="C49" s="24" t="s">
        <v>1727</v>
      </c>
      <c r="D49" s="4" t="s">
        <v>12</v>
      </c>
      <c r="E49" s="54" t="s">
        <v>1728</v>
      </c>
      <c r="F49" s="52"/>
      <c r="G49" s="53"/>
    </row>
    <row r="50">
      <c r="A50" s="4" t="s">
        <v>1660</v>
      </c>
      <c r="B50" s="4" t="s">
        <v>1726</v>
      </c>
      <c r="C50" s="24" t="s">
        <v>1727</v>
      </c>
      <c r="D50" s="4" t="s">
        <v>14</v>
      </c>
      <c r="E50" s="41" t="s">
        <v>1729</v>
      </c>
      <c r="F50" s="52"/>
      <c r="G50" s="53"/>
    </row>
    <row r="51">
      <c r="A51" s="4" t="s">
        <v>1660</v>
      </c>
      <c r="B51" s="4" t="s">
        <v>1726</v>
      </c>
      <c r="C51" s="24" t="s">
        <v>1727</v>
      </c>
      <c r="D51" s="4" t="s">
        <v>19</v>
      </c>
      <c r="E51" s="41" t="s">
        <v>1730</v>
      </c>
      <c r="F51" s="52"/>
      <c r="G51" s="53"/>
    </row>
    <row r="52">
      <c r="A52" s="4" t="s">
        <v>1660</v>
      </c>
      <c r="B52" s="4" t="s">
        <v>1731</v>
      </c>
      <c r="C52" s="24" t="s">
        <v>1732</v>
      </c>
      <c r="D52" s="4" t="s">
        <v>12</v>
      </c>
      <c r="E52" s="35" t="s">
        <v>1733</v>
      </c>
      <c r="F52" s="52"/>
      <c r="G52" s="53"/>
    </row>
    <row r="53">
      <c r="A53" s="4" t="s">
        <v>1660</v>
      </c>
      <c r="B53" s="4" t="s">
        <v>1731</v>
      </c>
      <c r="C53" s="24" t="s">
        <v>1734</v>
      </c>
      <c r="D53" s="4" t="s">
        <v>14</v>
      </c>
      <c r="E53" s="41" t="s">
        <v>1735</v>
      </c>
      <c r="F53" s="52"/>
      <c r="G53" s="53"/>
    </row>
    <row r="54">
      <c r="A54" s="4" t="s">
        <v>1660</v>
      </c>
      <c r="B54" s="4" t="s">
        <v>1731</v>
      </c>
      <c r="C54" s="24" t="s">
        <v>1734</v>
      </c>
      <c r="D54" s="4" t="s">
        <v>60</v>
      </c>
      <c r="E54" s="35" t="s">
        <v>1736</v>
      </c>
      <c r="F54" s="52"/>
      <c r="G54" s="53"/>
    </row>
    <row r="55">
      <c r="A55" s="4" t="s">
        <v>1660</v>
      </c>
      <c r="B55" s="4" t="s">
        <v>1731</v>
      </c>
      <c r="C55" s="24" t="s">
        <v>1734</v>
      </c>
      <c r="D55" s="4" t="s">
        <v>19</v>
      </c>
      <c r="E55" s="35" t="s">
        <v>1737</v>
      </c>
      <c r="F55" s="52"/>
      <c r="G55" s="53"/>
    </row>
    <row r="56">
      <c r="A56" s="4" t="s">
        <v>1660</v>
      </c>
      <c r="B56" s="4" t="s">
        <v>1731</v>
      </c>
      <c r="C56" s="24" t="s">
        <v>1734</v>
      </c>
      <c r="D56" s="4" t="s">
        <v>12</v>
      </c>
      <c r="E56" s="35" t="s">
        <v>1738</v>
      </c>
      <c r="F56" s="52"/>
      <c r="G56" s="53"/>
    </row>
    <row r="57">
      <c r="A57" s="4" t="s">
        <v>1660</v>
      </c>
      <c r="B57" s="4" t="s">
        <v>1731</v>
      </c>
      <c r="C57" s="24" t="s">
        <v>1734</v>
      </c>
      <c r="D57" s="4" t="s">
        <v>23</v>
      </c>
      <c r="E57" s="35" t="s">
        <v>1739</v>
      </c>
      <c r="F57" s="52"/>
      <c r="G57" s="53"/>
    </row>
    <row r="58">
      <c r="A58" s="4" t="s">
        <v>1660</v>
      </c>
      <c r="B58" s="4" t="s">
        <v>1740</v>
      </c>
      <c r="C58" s="24" t="s">
        <v>1741</v>
      </c>
      <c r="D58" s="4" t="s">
        <v>14</v>
      </c>
      <c r="E58" s="41" t="s">
        <v>1742</v>
      </c>
      <c r="F58" s="52"/>
      <c r="G58" s="53"/>
    </row>
    <row r="59">
      <c r="A59" s="4" t="s">
        <v>1660</v>
      </c>
      <c r="B59" s="4" t="s">
        <v>1740</v>
      </c>
      <c r="C59" s="24" t="s">
        <v>1741</v>
      </c>
      <c r="D59" s="4" t="s">
        <v>19</v>
      </c>
      <c r="E59" s="35" t="s">
        <v>1743</v>
      </c>
      <c r="F59" s="52"/>
      <c r="G59" s="53"/>
    </row>
    <row r="60">
      <c r="A60" s="4" t="s">
        <v>1660</v>
      </c>
      <c r="B60" s="4" t="s">
        <v>1740</v>
      </c>
      <c r="C60" s="24" t="s">
        <v>1741</v>
      </c>
      <c r="D60" s="4" t="s">
        <v>12</v>
      </c>
      <c r="E60" s="35" t="s">
        <v>1744</v>
      </c>
      <c r="F60" s="52"/>
      <c r="G60" s="53"/>
    </row>
    <row r="61">
      <c r="A61" s="4" t="s">
        <v>1660</v>
      </c>
      <c r="B61" s="4" t="s">
        <v>1740</v>
      </c>
      <c r="C61" s="24" t="s">
        <v>1741</v>
      </c>
      <c r="D61" s="4" t="s">
        <v>60</v>
      </c>
      <c r="E61" s="41" t="s">
        <v>1745</v>
      </c>
      <c r="F61" s="52"/>
      <c r="G61" s="53"/>
    </row>
    <row r="62">
      <c r="A62" s="4" t="s">
        <v>1660</v>
      </c>
      <c r="B62" s="4" t="s">
        <v>1740</v>
      </c>
      <c r="C62" s="24" t="s">
        <v>1741</v>
      </c>
      <c r="D62" s="4" t="s">
        <v>23</v>
      </c>
      <c r="E62" s="41" t="s">
        <v>1746</v>
      </c>
      <c r="F62" s="52"/>
      <c r="G62" s="53"/>
    </row>
    <row r="63">
      <c r="A63" s="4" t="s">
        <v>1660</v>
      </c>
      <c r="B63" s="4" t="s">
        <v>1740</v>
      </c>
      <c r="C63" s="24" t="s">
        <v>1747</v>
      </c>
      <c r="D63" s="4" t="s">
        <v>14</v>
      </c>
      <c r="E63" s="41" t="s">
        <v>1748</v>
      </c>
      <c r="F63" s="52"/>
      <c r="G63" s="53"/>
    </row>
    <row r="64">
      <c r="A64" s="4" t="s">
        <v>1660</v>
      </c>
      <c r="B64" s="4" t="s">
        <v>1740</v>
      </c>
      <c r="C64" s="24" t="s">
        <v>1747</v>
      </c>
      <c r="D64" s="4" t="s">
        <v>19</v>
      </c>
      <c r="E64" s="35" t="s">
        <v>1749</v>
      </c>
      <c r="F64" s="52"/>
      <c r="G64" s="53"/>
    </row>
    <row r="65">
      <c r="A65" s="4" t="s">
        <v>1660</v>
      </c>
      <c r="B65" s="4" t="s">
        <v>1740</v>
      </c>
      <c r="C65" s="24" t="s">
        <v>1747</v>
      </c>
      <c r="D65" s="4" t="s">
        <v>60</v>
      </c>
      <c r="E65" s="41" t="s">
        <v>1750</v>
      </c>
      <c r="F65" s="52"/>
      <c r="G65" s="53"/>
    </row>
    <row r="66">
      <c r="A66" s="4" t="s">
        <v>1660</v>
      </c>
      <c r="B66" s="4" t="s">
        <v>1740</v>
      </c>
      <c r="C66" s="24" t="s">
        <v>1747</v>
      </c>
      <c r="D66" s="4" t="s">
        <v>12</v>
      </c>
      <c r="E66" s="35" t="s">
        <v>1751</v>
      </c>
      <c r="F66" s="52"/>
      <c r="G66" s="53"/>
    </row>
    <row r="67">
      <c r="A67" s="4" t="s">
        <v>1660</v>
      </c>
      <c r="B67" s="4" t="s">
        <v>1740</v>
      </c>
      <c r="C67" s="24" t="s">
        <v>1752</v>
      </c>
      <c r="D67" s="4" t="s">
        <v>14</v>
      </c>
      <c r="E67" s="41" t="s">
        <v>1753</v>
      </c>
      <c r="F67" s="52"/>
      <c r="G67" s="53"/>
    </row>
    <row r="68">
      <c r="A68" s="4" t="s">
        <v>1660</v>
      </c>
      <c r="B68" s="4" t="s">
        <v>1740</v>
      </c>
      <c r="C68" s="24" t="s">
        <v>1752</v>
      </c>
      <c r="D68" s="4" t="s">
        <v>19</v>
      </c>
      <c r="E68" s="41" t="s">
        <v>1754</v>
      </c>
      <c r="F68" s="52"/>
      <c r="G68" s="53"/>
    </row>
    <row r="69">
      <c r="A69" s="4" t="s">
        <v>1660</v>
      </c>
      <c r="B69" s="4" t="s">
        <v>1740</v>
      </c>
      <c r="C69" s="24" t="s">
        <v>1752</v>
      </c>
      <c r="D69" s="4" t="s">
        <v>12</v>
      </c>
      <c r="E69" s="35" t="s">
        <v>1755</v>
      </c>
      <c r="F69" s="52"/>
      <c r="G69" s="53"/>
    </row>
    <row r="70">
      <c r="A70" s="4" t="s">
        <v>1660</v>
      </c>
      <c r="B70" s="4" t="s">
        <v>1740</v>
      </c>
      <c r="C70" s="24" t="s">
        <v>1756</v>
      </c>
      <c r="D70" s="4" t="s">
        <v>14</v>
      </c>
      <c r="E70" s="41" t="s">
        <v>1757</v>
      </c>
      <c r="F70" s="52"/>
      <c r="G70" s="53"/>
    </row>
    <row r="71">
      <c r="A71" s="4" t="s">
        <v>1660</v>
      </c>
      <c r="B71" s="4" t="s">
        <v>1740</v>
      </c>
      <c r="C71" s="24" t="s">
        <v>1756</v>
      </c>
      <c r="D71" s="4" t="s">
        <v>19</v>
      </c>
      <c r="E71" s="35" t="s">
        <v>1758</v>
      </c>
      <c r="F71" s="52"/>
      <c r="G71" s="53"/>
    </row>
    <row r="72">
      <c r="A72" s="4" t="s">
        <v>1660</v>
      </c>
      <c r="B72" s="4" t="s">
        <v>1740</v>
      </c>
      <c r="C72" s="24" t="s">
        <v>1756</v>
      </c>
      <c r="D72" s="4" t="s">
        <v>23</v>
      </c>
      <c r="E72" s="41" t="s">
        <v>1759</v>
      </c>
      <c r="F72" s="52"/>
      <c r="G72" s="53"/>
    </row>
    <row r="73">
      <c r="A73" s="4" t="s">
        <v>1660</v>
      </c>
      <c r="B73" s="4" t="s">
        <v>1740</v>
      </c>
      <c r="C73" s="24" t="s">
        <v>1756</v>
      </c>
      <c r="D73" s="4" t="s">
        <v>60</v>
      </c>
      <c r="E73" s="41" t="s">
        <v>1760</v>
      </c>
      <c r="F73" s="52"/>
      <c r="G73" s="53"/>
    </row>
    <row r="74">
      <c r="A74" s="4" t="s">
        <v>1660</v>
      </c>
      <c r="B74" s="4" t="s">
        <v>1740</v>
      </c>
      <c r="C74" s="24" t="s">
        <v>1756</v>
      </c>
      <c r="D74" s="4" t="s">
        <v>8</v>
      </c>
      <c r="E74" s="41" t="s">
        <v>1761</v>
      </c>
      <c r="F74" s="52"/>
      <c r="G74" s="53"/>
    </row>
    <row r="75">
      <c r="A75" s="4" t="s">
        <v>1660</v>
      </c>
      <c r="B75" s="4" t="s">
        <v>1740</v>
      </c>
      <c r="C75" s="24" t="s">
        <v>1756</v>
      </c>
      <c r="D75" s="4" t="s">
        <v>12</v>
      </c>
      <c r="E75" s="35" t="s">
        <v>1762</v>
      </c>
      <c r="F75" s="52"/>
      <c r="G75" s="53"/>
    </row>
    <row r="76">
      <c r="A76" s="4" t="s">
        <v>1660</v>
      </c>
      <c r="B76" s="4" t="s">
        <v>1763</v>
      </c>
      <c r="C76" s="24" t="s">
        <v>1764</v>
      </c>
      <c r="D76" s="4" t="s">
        <v>12</v>
      </c>
      <c r="E76" s="54" t="s">
        <v>1765</v>
      </c>
      <c r="F76" s="52"/>
      <c r="G76" s="53"/>
    </row>
    <row r="77">
      <c r="A77" s="4" t="s">
        <v>1660</v>
      </c>
      <c r="B77" s="4" t="s">
        <v>1763</v>
      </c>
      <c r="C77" s="24" t="s">
        <v>1766</v>
      </c>
      <c r="D77" s="4" t="s">
        <v>14</v>
      </c>
      <c r="E77" s="41" t="s">
        <v>1767</v>
      </c>
      <c r="F77" s="52"/>
      <c r="G77" s="53"/>
    </row>
    <row r="78">
      <c r="A78" s="4" t="s">
        <v>1660</v>
      </c>
      <c r="B78" s="4" t="s">
        <v>1763</v>
      </c>
      <c r="C78" s="24" t="s">
        <v>1766</v>
      </c>
      <c r="D78" s="4" t="s">
        <v>19</v>
      </c>
      <c r="E78" s="35" t="s">
        <v>1768</v>
      </c>
      <c r="F78" s="52"/>
      <c r="G78" s="53"/>
    </row>
    <row r="79">
      <c r="A79" s="4" t="s">
        <v>1660</v>
      </c>
      <c r="B79" s="4" t="s">
        <v>1763</v>
      </c>
      <c r="C79" s="24" t="s">
        <v>1766</v>
      </c>
      <c r="D79" s="4" t="s">
        <v>12</v>
      </c>
      <c r="E79" s="35" t="s">
        <v>1769</v>
      </c>
      <c r="F79" s="52"/>
      <c r="G79" s="53"/>
    </row>
    <row r="80">
      <c r="A80" s="4" t="s">
        <v>1660</v>
      </c>
      <c r="B80" s="4" t="s">
        <v>1763</v>
      </c>
      <c r="C80" s="24" t="s">
        <v>1766</v>
      </c>
      <c r="D80" s="4" t="s">
        <v>23</v>
      </c>
      <c r="E80" s="41" t="s">
        <v>1770</v>
      </c>
      <c r="F80" s="52"/>
      <c r="G80" s="53"/>
    </row>
    <row r="81">
      <c r="A81" s="4" t="s">
        <v>1660</v>
      </c>
      <c r="B81" s="4" t="s">
        <v>1771</v>
      </c>
      <c r="C81" s="24" t="s">
        <v>1772</v>
      </c>
      <c r="D81" s="4" t="s">
        <v>14</v>
      </c>
      <c r="E81" s="41" t="s">
        <v>1773</v>
      </c>
      <c r="F81" s="52"/>
      <c r="G81" s="53"/>
    </row>
    <row r="82">
      <c r="A82" s="4" t="s">
        <v>1660</v>
      </c>
      <c r="B82" s="4" t="s">
        <v>1771</v>
      </c>
      <c r="C82" s="24" t="s">
        <v>1772</v>
      </c>
      <c r="D82" s="4" t="s">
        <v>19</v>
      </c>
      <c r="E82" s="35" t="s">
        <v>1774</v>
      </c>
      <c r="F82" s="52"/>
      <c r="G82" s="53"/>
    </row>
    <row r="83">
      <c r="A83" s="4" t="s">
        <v>1660</v>
      </c>
      <c r="B83" s="4" t="s">
        <v>1771</v>
      </c>
      <c r="C83" s="28" t="s">
        <v>1772</v>
      </c>
      <c r="D83" s="4" t="s">
        <v>12</v>
      </c>
      <c r="E83" s="35" t="s">
        <v>1775</v>
      </c>
      <c r="F83" s="52"/>
      <c r="G83" s="53"/>
    </row>
    <row r="84">
      <c r="A84" s="4" t="s">
        <v>1660</v>
      </c>
      <c r="B84" s="4" t="s">
        <v>1771</v>
      </c>
      <c r="C84" s="24" t="s">
        <v>1772</v>
      </c>
      <c r="D84" s="4" t="s">
        <v>1223</v>
      </c>
      <c r="E84" s="41" t="s">
        <v>1776</v>
      </c>
      <c r="F84" s="52"/>
      <c r="G84" s="53"/>
    </row>
    <row r="85">
      <c r="A85" s="4" t="s">
        <v>1660</v>
      </c>
      <c r="B85" s="4" t="s">
        <v>1777</v>
      </c>
      <c r="C85" s="24" t="s">
        <v>1778</v>
      </c>
      <c r="D85" s="4" t="s">
        <v>14</v>
      </c>
      <c r="E85" s="35" t="s">
        <v>1779</v>
      </c>
      <c r="F85" s="52"/>
      <c r="G85" s="53"/>
    </row>
    <row r="86">
      <c r="A86" s="4" t="s">
        <v>1660</v>
      </c>
      <c r="B86" s="4" t="s">
        <v>1777</v>
      </c>
      <c r="C86" s="24" t="s">
        <v>1778</v>
      </c>
      <c r="D86" s="4" t="s">
        <v>19</v>
      </c>
      <c r="E86" s="35" t="s">
        <v>1780</v>
      </c>
      <c r="F86" s="52"/>
      <c r="G86" s="53"/>
    </row>
    <row r="87">
      <c r="A87" s="4" t="s">
        <v>1660</v>
      </c>
      <c r="B87" s="4" t="s">
        <v>1777</v>
      </c>
      <c r="C87" s="24" t="s">
        <v>1778</v>
      </c>
      <c r="D87" s="4" t="s">
        <v>23</v>
      </c>
      <c r="E87" s="41" t="s">
        <v>1781</v>
      </c>
      <c r="F87" s="52"/>
      <c r="G87" s="53"/>
    </row>
    <row r="88">
      <c r="A88" s="4" t="s">
        <v>1660</v>
      </c>
      <c r="B88" s="4" t="s">
        <v>6</v>
      </c>
      <c r="C88" s="24" t="s">
        <v>1782</v>
      </c>
      <c r="D88" s="4" t="s">
        <v>12</v>
      </c>
      <c r="E88" s="35" t="s">
        <v>1783</v>
      </c>
      <c r="F88" s="52"/>
      <c r="G88" s="53"/>
    </row>
    <row r="89">
      <c r="A89" s="4" t="s">
        <v>1660</v>
      </c>
      <c r="B89" s="4" t="s">
        <v>6</v>
      </c>
      <c r="C89" s="24" t="s">
        <v>1784</v>
      </c>
      <c r="D89" s="4" t="s">
        <v>12</v>
      </c>
      <c r="E89" s="35" t="s">
        <v>1785</v>
      </c>
      <c r="F89" s="52"/>
      <c r="G89" s="53"/>
    </row>
    <row r="90">
      <c r="A90" s="4" t="s">
        <v>1660</v>
      </c>
      <c r="B90" s="4" t="s">
        <v>1786</v>
      </c>
      <c r="C90" s="24" t="s">
        <v>1787</v>
      </c>
      <c r="D90" s="4" t="s">
        <v>12</v>
      </c>
      <c r="E90" s="35" t="s">
        <v>1788</v>
      </c>
      <c r="F90" s="52"/>
      <c r="G90" s="53"/>
    </row>
    <row r="91">
      <c r="A91" s="4" t="s">
        <v>1660</v>
      </c>
      <c r="B91" s="4" t="s">
        <v>1786</v>
      </c>
      <c r="C91" s="24" t="s">
        <v>1789</v>
      </c>
      <c r="D91" s="4" t="s">
        <v>14</v>
      </c>
      <c r="E91" s="41" t="s">
        <v>1790</v>
      </c>
      <c r="F91" s="52"/>
      <c r="G91" s="53"/>
    </row>
    <row r="92">
      <c r="A92" s="4" t="s">
        <v>1660</v>
      </c>
      <c r="B92" s="4" t="s">
        <v>1786</v>
      </c>
      <c r="C92" s="24" t="s">
        <v>1789</v>
      </c>
      <c r="D92" s="4" t="s">
        <v>19</v>
      </c>
      <c r="E92" s="35" t="s">
        <v>1791</v>
      </c>
      <c r="F92" s="52"/>
      <c r="G92" s="53"/>
    </row>
    <row r="93">
      <c r="A93" s="4" t="s">
        <v>1660</v>
      </c>
      <c r="B93" s="4" t="s">
        <v>1786</v>
      </c>
      <c r="C93" s="24" t="s">
        <v>1789</v>
      </c>
      <c r="D93" s="4" t="s">
        <v>23</v>
      </c>
      <c r="E93" s="41" t="s">
        <v>1792</v>
      </c>
      <c r="F93" s="52"/>
      <c r="G93" s="53"/>
    </row>
    <row r="94">
      <c r="A94" s="4" t="s">
        <v>1660</v>
      </c>
      <c r="B94" s="4" t="s">
        <v>1786</v>
      </c>
      <c r="C94" s="24" t="s">
        <v>1789</v>
      </c>
      <c r="D94" s="4" t="s">
        <v>1223</v>
      </c>
      <c r="E94" s="41" t="s">
        <v>1793</v>
      </c>
      <c r="F94" s="52"/>
      <c r="G94" s="53"/>
    </row>
    <row r="95">
      <c r="A95" s="4" t="s">
        <v>1660</v>
      </c>
      <c r="B95" s="4" t="s">
        <v>1786</v>
      </c>
      <c r="C95" s="24" t="s">
        <v>1789</v>
      </c>
      <c r="D95" s="4" t="s">
        <v>12</v>
      </c>
      <c r="E95" s="35" t="s">
        <v>1794</v>
      </c>
      <c r="F95" s="52"/>
      <c r="G95" s="53"/>
    </row>
    <row r="96">
      <c r="A96" s="4"/>
      <c r="B96" s="4"/>
      <c r="C96" s="24"/>
      <c r="D96" s="4"/>
      <c r="E96" s="41"/>
      <c r="F96" s="57"/>
      <c r="G96" s="58"/>
    </row>
    <row r="97">
      <c r="A97" s="4"/>
      <c r="B97" s="4"/>
      <c r="C97" s="24"/>
      <c r="D97" s="4"/>
      <c r="E97" s="41"/>
      <c r="F97" s="57"/>
      <c r="G97" s="58"/>
    </row>
    <row r="98">
      <c r="A98" s="4"/>
      <c r="B98" s="4"/>
      <c r="C98" s="24"/>
      <c r="D98" s="4"/>
      <c r="E98" s="41"/>
      <c r="F98" s="57"/>
      <c r="G98" s="58"/>
    </row>
    <row r="99">
      <c r="A99" s="4"/>
      <c r="B99" s="4"/>
      <c r="C99" s="24"/>
      <c r="D99" s="4"/>
      <c r="E99" s="41"/>
      <c r="F99" s="57"/>
      <c r="G99" s="58"/>
    </row>
    <row r="100">
      <c r="A100" s="4"/>
      <c r="B100" s="4"/>
      <c r="C100" s="24"/>
      <c r="D100" s="4"/>
      <c r="E100" s="41"/>
      <c r="F100" s="57"/>
      <c r="G100" s="58"/>
    </row>
    <row r="101">
      <c r="A101" s="4"/>
      <c r="B101" s="4"/>
      <c r="C101" s="24"/>
      <c r="D101" s="4"/>
      <c r="E101" s="41"/>
      <c r="F101" s="57"/>
      <c r="G101" s="58"/>
    </row>
    <row r="102">
      <c r="A102" s="4"/>
      <c r="B102" s="4"/>
      <c r="C102" s="24"/>
      <c r="D102" s="4"/>
      <c r="E102" s="41"/>
      <c r="F102" s="57"/>
      <c r="G102" s="58"/>
    </row>
    <row r="103">
      <c r="A103" s="4"/>
      <c r="B103" s="4"/>
      <c r="C103" s="24"/>
      <c r="D103" s="4"/>
      <c r="E103" s="41"/>
      <c r="F103" s="57"/>
      <c r="G103" s="58"/>
    </row>
    <row r="104">
      <c r="A104" s="4"/>
      <c r="B104" s="4"/>
      <c r="C104" s="24"/>
      <c r="D104" s="4"/>
      <c r="E104" s="41"/>
      <c r="F104" s="57"/>
      <c r="G104" s="58"/>
    </row>
    <row r="105">
      <c r="A105" s="4"/>
      <c r="B105" s="4"/>
      <c r="C105" s="24"/>
      <c r="D105" s="4"/>
      <c r="E105" s="41"/>
      <c r="F105" s="57"/>
      <c r="G105" s="58"/>
    </row>
    <row r="106">
      <c r="A106" s="4"/>
      <c r="B106" s="4"/>
      <c r="C106" s="24"/>
      <c r="D106" s="4"/>
      <c r="E106" s="41"/>
      <c r="F106" s="57"/>
      <c r="G106" s="58"/>
    </row>
    <row r="107">
      <c r="A107" s="4"/>
      <c r="B107" s="4"/>
      <c r="C107" s="24"/>
      <c r="D107" s="4"/>
      <c r="E107" s="41"/>
      <c r="F107" s="57"/>
      <c r="G107" s="58"/>
    </row>
    <row r="108">
      <c r="A108" s="4"/>
      <c r="B108" s="4"/>
      <c r="C108" s="24"/>
      <c r="D108" s="4"/>
      <c r="E108" s="41"/>
      <c r="F108" s="57"/>
      <c r="G108" s="58"/>
    </row>
    <row r="109">
      <c r="A109" s="4"/>
      <c r="B109" s="4"/>
      <c r="C109" s="24"/>
      <c r="D109" s="4"/>
      <c r="E109" s="41"/>
      <c r="F109" s="57"/>
      <c r="G109" s="58"/>
    </row>
    <row r="110">
      <c r="A110" s="4"/>
      <c r="B110" s="4"/>
      <c r="C110" s="24"/>
      <c r="D110" s="4"/>
      <c r="E110" s="41"/>
      <c r="F110" s="57"/>
      <c r="G110" s="58"/>
    </row>
    <row r="111">
      <c r="A111" s="4"/>
      <c r="B111" s="4"/>
      <c r="C111" s="24"/>
      <c r="D111" s="4"/>
      <c r="E111" s="41"/>
      <c r="F111" s="57"/>
      <c r="G111" s="58"/>
    </row>
    <row r="112">
      <c r="A112" s="4"/>
      <c r="B112" s="4"/>
      <c r="C112" s="24"/>
      <c r="D112" s="4"/>
      <c r="E112" s="41"/>
      <c r="F112" s="57"/>
      <c r="G112" s="58"/>
    </row>
    <row r="113">
      <c r="A113" s="4"/>
      <c r="B113" s="4"/>
      <c r="C113" s="24"/>
      <c r="D113" s="4"/>
      <c r="E113" s="41"/>
      <c r="F113" s="57"/>
      <c r="G113" s="58"/>
    </row>
    <row r="114">
      <c r="A114" s="4"/>
      <c r="B114" s="4"/>
      <c r="C114" s="24"/>
      <c r="D114" s="4"/>
      <c r="E114" s="41"/>
      <c r="F114" s="57"/>
      <c r="G114" s="58"/>
    </row>
    <row r="115">
      <c r="A115" s="4"/>
      <c r="B115" s="4"/>
      <c r="C115" s="28"/>
      <c r="D115" s="4"/>
      <c r="E115" s="41"/>
      <c r="F115" s="57"/>
      <c r="G115" s="58"/>
    </row>
    <row r="116">
      <c r="A116" s="4"/>
      <c r="B116" s="4"/>
      <c r="C116" s="24"/>
      <c r="D116" s="4"/>
      <c r="E116" s="42"/>
      <c r="F116" s="57"/>
      <c r="G116" s="58"/>
    </row>
    <row r="117">
      <c r="A117" s="4"/>
      <c r="B117" s="4"/>
      <c r="C117" s="24"/>
      <c r="D117" s="4"/>
      <c r="E117" s="42"/>
      <c r="F117" s="57"/>
      <c r="G117" s="58"/>
    </row>
    <row r="118">
      <c r="A118" s="4"/>
      <c r="B118" s="4"/>
      <c r="C118" s="24"/>
      <c r="D118" s="4"/>
      <c r="E118" s="42"/>
      <c r="F118" s="57"/>
      <c r="G118" s="58"/>
    </row>
    <row r="119">
      <c r="A119" s="4"/>
      <c r="B119" s="14"/>
      <c r="C119" s="24"/>
      <c r="D119" s="4"/>
      <c r="E119" s="43"/>
      <c r="F119" s="57"/>
      <c r="G119" s="58"/>
    </row>
    <row r="120">
      <c r="A120" s="4"/>
      <c r="B120" s="4"/>
      <c r="C120" s="24"/>
      <c r="D120" s="4"/>
      <c r="E120" s="42"/>
      <c r="F120" s="57"/>
      <c r="G120" s="58"/>
    </row>
    <row r="121">
      <c r="A121" s="4"/>
      <c r="B121" s="4"/>
      <c r="C121" s="24"/>
      <c r="D121" s="4"/>
      <c r="E121" s="42"/>
      <c r="F121" s="57"/>
      <c r="G121" s="58"/>
    </row>
    <row r="122">
      <c r="A122" s="4"/>
      <c r="B122" s="4"/>
      <c r="C122" s="24"/>
      <c r="D122" s="4"/>
      <c r="E122" s="24"/>
      <c r="F122" s="57"/>
      <c r="G122" s="58"/>
    </row>
    <row r="123">
      <c r="A123" s="4"/>
      <c r="B123" s="4"/>
      <c r="C123" s="24"/>
      <c r="D123" s="4"/>
      <c r="E123" s="42"/>
      <c r="F123" s="57"/>
      <c r="G123" s="58"/>
    </row>
    <row r="124">
      <c r="A124" s="4"/>
      <c r="B124" s="4"/>
      <c r="C124" s="24"/>
      <c r="D124" s="4"/>
      <c r="E124" s="42"/>
      <c r="F124" s="57"/>
      <c r="G124" s="58"/>
    </row>
    <row r="125">
      <c r="A125" s="4"/>
      <c r="B125" s="4"/>
      <c r="C125" s="24"/>
      <c r="D125" s="4"/>
      <c r="E125" s="41"/>
      <c r="F125" s="57"/>
      <c r="G125" s="58"/>
    </row>
    <row r="126">
      <c r="A126" s="4"/>
      <c r="B126" s="4"/>
      <c r="C126" s="24"/>
      <c r="D126" s="4"/>
      <c r="E126" s="41"/>
      <c r="F126" s="57"/>
      <c r="G126" s="58"/>
    </row>
    <row r="127">
      <c r="A127" s="4"/>
      <c r="B127" s="4"/>
      <c r="C127" s="24"/>
      <c r="D127" s="4"/>
      <c r="E127" s="42"/>
      <c r="F127" s="57"/>
      <c r="G127" s="58"/>
    </row>
    <row r="128">
      <c r="A128" s="4"/>
      <c r="B128" s="4"/>
      <c r="C128" s="24"/>
      <c r="D128" s="4"/>
      <c r="E128" s="42"/>
      <c r="F128" s="57"/>
      <c r="G128" s="58"/>
    </row>
    <row r="129">
      <c r="A129" s="4"/>
      <c r="B129" s="4"/>
      <c r="C129" s="28"/>
      <c r="D129" s="4"/>
      <c r="E129" s="42"/>
      <c r="F129" s="57"/>
      <c r="G129" s="58"/>
    </row>
    <row r="130">
      <c r="A130" s="4"/>
      <c r="B130" s="4"/>
      <c r="C130" s="28"/>
      <c r="D130" s="4"/>
      <c r="E130" s="42"/>
      <c r="F130" s="57"/>
      <c r="G130" s="58"/>
    </row>
    <row r="131">
      <c r="A131" s="4"/>
      <c r="B131" s="4"/>
      <c r="C131" s="24"/>
      <c r="D131" s="4"/>
      <c r="E131" s="41"/>
      <c r="F131" s="57"/>
      <c r="G131" s="58"/>
    </row>
    <row r="132">
      <c r="A132" s="4"/>
      <c r="B132" s="4"/>
      <c r="C132" s="24"/>
      <c r="D132" s="4"/>
      <c r="E132" s="41"/>
      <c r="F132" s="57"/>
      <c r="G132" s="58"/>
    </row>
    <row r="133">
      <c r="A133" s="4"/>
      <c r="B133" s="4"/>
      <c r="C133" s="24"/>
      <c r="D133" s="4"/>
      <c r="E133" s="41"/>
      <c r="F133" s="57"/>
      <c r="G133" s="58"/>
    </row>
    <row r="134">
      <c r="A134" s="4"/>
      <c r="B134" s="4"/>
      <c r="C134" s="24"/>
      <c r="D134" s="4"/>
      <c r="E134" s="41"/>
      <c r="F134" s="57"/>
      <c r="G134" s="58"/>
    </row>
    <row r="135">
      <c r="A135" s="4"/>
      <c r="B135" s="4"/>
      <c r="C135" s="24"/>
      <c r="D135" s="4"/>
      <c r="E135" s="41"/>
      <c r="F135" s="57"/>
      <c r="G135" s="58"/>
    </row>
    <row r="136">
      <c r="A136" s="4"/>
      <c r="B136" s="4"/>
      <c r="C136" s="24"/>
      <c r="D136" s="4"/>
      <c r="E136" s="41"/>
      <c r="F136" s="57"/>
      <c r="G136" s="58"/>
    </row>
    <row r="137">
      <c r="A137" s="4"/>
      <c r="B137" s="4"/>
      <c r="C137" s="24"/>
      <c r="D137" s="4"/>
      <c r="E137" s="41"/>
      <c r="F137" s="57"/>
      <c r="G137" s="58"/>
    </row>
    <row r="138">
      <c r="A138" s="4"/>
      <c r="B138" s="4"/>
      <c r="C138" s="24"/>
      <c r="D138" s="4"/>
      <c r="E138" s="41"/>
      <c r="F138" s="57"/>
      <c r="G138" s="58"/>
    </row>
    <row r="139">
      <c r="A139" s="4"/>
      <c r="B139" s="4"/>
      <c r="C139" s="24"/>
      <c r="D139" s="4"/>
      <c r="E139" s="41"/>
      <c r="F139" s="57"/>
      <c r="G139" s="58"/>
    </row>
    <row r="140">
      <c r="A140" s="4"/>
      <c r="B140" s="4"/>
      <c r="C140" s="24"/>
      <c r="D140" s="4"/>
      <c r="E140" s="41"/>
      <c r="F140" s="57"/>
      <c r="G140" s="58"/>
    </row>
    <row r="141">
      <c r="A141" s="4"/>
      <c r="B141" s="4"/>
      <c r="C141" s="24"/>
      <c r="D141" s="4"/>
      <c r="E141" s="41"/>
      <c r="F141" s="57"/>
      <c r="G141" s="58"/>
    </row>
    <row r="142">
      <c r="A142" s="4"/>
      <c r="B142" s="4"/>
      <c r="C142" s="24"/>
      <c r="D142" s="4"/>
      <c r="E142" s="41"/>
      <c r="F142" s="57"/>
      <c r="G142" s="58"/>
    </row>
    <row r="143">
      <c r="A143" s="4"/>
      <c r="B143" s="4"/>
      <c r="C143" s="24"/>
      <c r="D143" s="4"/>
      <c r="E143" s="41"/>
      <c r="F143" s="57"/>
      <c r="G143" s="58"/>
    </row>
    <row r="144">
      <c r="A144" s="4"/>
      <c r="B144" s="4"/>
      <c r="C144" s="24"/>
      <c r="D144" s="4"/>
      <c r="E144" s="41"/>
      <c r="F144" s="57"/>
      <c r="G144" s="58"/>
    </row>
    <row r="145">
      <c r="A145" s="4"/>
      <c r="B145" s="4"/>
      <c r="C145" s="24"/>
      <c r="D145" s="4"/>
      <c r="E145" s="41"/>
      <c r="F145" s="57"/>
      <c r="G145" s="58"/>
    </row>
    <row r="146">
      <c r="A146" s="4"/>
      <c r="B146" s="4"/>
      <c r="C146" s="24"/>
      <c r="D146" s="4"/>
      <c r="E146" s="41"/>
      <c r="F146" s="57"/>
      <c r="G146" s="58"/>
    </row>
    <row r="147">
      <c r="A147" s="4"/>
      <c r="B147" s="4"/>
      <c r="C147" s="24"/>
      <c r="D147" s="4"/>
      <c r="E147" s="41"/>
      <c r="F147" s="57"/>
      <c r="G147" s="58"/>
    </row>
    <row r="148">
      <c r="A148" s="4"/>
      <c r="B148" s="4"/>
      <c r="C148" s="24"/>
      <c r="D148" s="4"/>
      <c r="E148" s="41"/>
      <c r="F148" s="57"/>
      <c r="G148" s="58"/>
    </row>
    <row r="149">
      <c r="A149" s="4"/>
      <c r="B149" s="4"/>
      <c r="C149" s="24"/>
      <c r="D149" s="4"/>
      <c r="E149" s="41"/>
      <c r="F149" s="57"/>
      <c r="G149" s="58"/>
    </row>
    <row r="150">
      <c r="A150" s="4"/>
      <c r="B150" s="4"/>
      <c r="C150" s="24"/>
      <c r="D150" s="4"/>
      <c r="E150" s="44"/>
      <c r="F150" s="57"/>
      <c r="G150" s="58"/>
    </row>
    <row r="151">
      <c r="A151" s="4"/>
      <c r="B151" s="4"/>
      <c r="C151" s="24"/>
      <c r="D151" s="4"/>
      <c r="E151" s="41"/>
      <c r="F151" s="57"/>
      <c r="G151" s="58"/>
    </row>
    <row r="152">
      <c r="A152" s="4"/>
      <c r="B152" s="4"/>
      <c r="C152" s="24"/>
      <c r="D152" s="4"/>
      <c r="E152" s="41"/>
      <c r="F152" s="57"/>
      <c r="G152" s="58"/>
    </row>
    <row r="153">
      <c r="A153" s="4"/>
      <c r="B153" s="4"/>
      <c r="C153" s="24"/>
      <c r="D153" s="4"/>
      <c r="E153" s="41"/>
      <c r="F153" s="57"/>
      <c r="G153" s="58"/>
    </row>
    <row r="154">
      <c r="A154" s="4"/>
      <c r="B154" s="4"/>
      <c r="C154" s="24"/>
      <c r="D154" s="4"/>
      <c r="E154" s="41"/>
      <c r="F154" s="57"/>
      <c r="G154" s="58"/>
    </row>
    <row r="155">
      <c r="A155" s="4"/>
      <c r="B155" s="4"/>
      <c r="C155" s="24"/>
      <c r="D155" s="4"/>
      <c r="E155" s="41"/>
      <c r="F155" s="57"/>
      <c r="G155" s="58"/>
    </row>
    <row r="156">
      <c r="A156" s="4"/>
      <c r="B156" s="4"/>
      <c r="C156" s="24"/>
      <c r="D156" s="4"/>
      <c r="E156" s="41"/>
      <c r="F156" s="57"/>
      <c r="G156" s="58"/>
    </row>
    <row r="157">
      <c r="A157" s="4"/>
      <c r="B157" s="4"/>
      <c r="C157" s="24"/>
      <c r="D157" s="4"/>
      <c r="E157" s="41"/>
      <c r="F157" s="57"/>
      <c r="G157" s="58"/>
    </row>
    <row r="158">
      <c r="A158" s="4"/>
      <c r="B158" s="4"/>
      <c r="C158" s="24"/>
      <c r="D158" s="4"/>
      <c r="E158" s="41"/>
      <c r="F158" s="57"/>
      <c r="G158" s="58"/>
    </row>
    <row r="159">
      <c r="A159" s="4"/>
      <c r="B159" s="4"/>
      <c r="C159" s="24"/>
      <c r="D159" s="4"/>
      <c r="E159" s="41"/>
      <c r="F159" s="57"/>
      <c r="G159" s="58"/>
    </row>
    <row r="160">
      <c r="A160" s="4"/>
      <c r="B160" s="4"/>
      <c r="C160" s="24"/>
      <c r="D160" s="4"/>
      <c r="E160" s="41"/>
      <c r="F160" s="57"/>
      <c r="G160" s="58"/>
    </row>
    <row r="161">
      <c r="A161" s="4"/>
      <c r="B161" s="4"/>
      <c r="C161" s="24"/>
      <c r="D161" s="4"/>
      <c r="E161" s="41"/>
      <c r="F161" s="57"/>
      <c r="G161" s="58"/>
    </row>
    <row r="162">
      <c r="A162" s="4"/>
      <c r="B162" s="4"/>
      <c r="C162" s="24"/>
      <c r="D162" s="4"/>
      <c r="E162" s="41"/>
      <c r="F162" s="57"/>
      <c r="G162" s="58"/>
    </row>
    <row r="163">
      <c r="A163" s="4"/>
      <c r="B163" s="4"/>
      <c r="C163" s="24"/>
      <c r="D163" s="4"/>
      <c r="E163" s="41"/>
      <c r="F163" s="57"/>
      <c r="G163" s="58"/>
    </row>
    <row r="164">
      <c r="A164" s="4"/>
      <c r="B164" s="4"/>
      <c r="C164" s="24"/>
      <c r="D164" s="4"/>
      <c r="E164" s="41"/>
      <c r="F164" s="57"/>
      <c r="G164" s="58"/>
    </row>
    <row r="165">
      <c r="A165" s="4"/>
      <c r="B165" s="4"/>
      <c r="C165" s="24"/>
      <c r="D165" s="4"/>
      <c r="E165" s="41"/>
      <c r="F165" s="57"/>
      <c r="G165" s="58"/>
    </row>
    <row r="166">
      <c r="A166" s="4"/>
      <c r="B166" s="4"/>
      <c r="C166" s="24"/>
      <c r="D166" s="4"/>
      <c r="E166" s="41"/>
      <c r="F166" s="57"/>
      <c r="G166" s="58"/>
    </row>
    <row r="167">
      <c r="A167" s="4"/>
      <c r="B167" s="4"/>
      <c r="C167" s="24"/>
      <c r="D167" s="4"/>
      <c r="E167" s="41"/>
      <c r="F167" s="57"/>
      <c r="G167" s="58"/>
    </row>
    <row r="168">
      <c r="A168" s="4"/>
      <c r="B168" s="4"/>
      <c r="C168" s="24"/>
      <c r="D168" s="4"/>
      <c r="E168" s="41"/>
      <c r="F168" s="57"/>
      <c r="G168" s="58"/>
    </row>
    <row r="169">
      <c r="A169" s="4"/>
      <c r="B169" s="4"/>
      <c r="C169" s="24"/>
      <c r="D169" s="4"/>
      <c r="E169" s="41"/>
      <c r="F169" s="57"/>
      <c r="G169" s="58"/>
    </row>
    <row r="170">
      <c r="A170" s="4"/>
      <c r="B170" s="4"/>
      <c r="C170" s="24"/>
      <c r="D170" s="4"/>
      <c r="E170" s="41"/>
      <c r="F170" s="57"/>
      <c r="G170" s="58"/>
    </row>
    <row r="171">
      <c r="A171" s="4"/>
      <c r="B171" s="4"/>
      <c r="C171" s="24"/>
      <c r="D171" s="4"/>
      <c r="E171" s="41"/>
      <c r="F171" s="57"/>
      <c r="G171" s="58"/>
    </row>
    <row r="172">
      <c r="A172" s="4"/>
      <c r="B172" s="4"/>
      <c r="C172" s="24"/>
      <c r="D172" s="4"/>
      <c r="E172" s="41"/>
      <c r="F172" s="57"/>
      <c r="G172" s="58"/>
    </row>
    <row r="173">
      <c r="A173" s="4"/>
      <c r="B173" s="4"/>
      <c r="C173" s="24"/>
      <c r="D173" s="4"/>
      <c r="E173" s="41"/>
      <c r="F173" s="57"/>
      <c r="G173" s="58"/>
    </row>
    <row r="174">
      <c r="A174" s="4"/>
      <c r="B174" s="4"/>
      <c r="C174" s="24"/>
      <c r="D174" s="4"/>
      <c r="E174" s="41"/>
      <c r="F174" s="57"/>
      <c r="G174" s="58"/>
    </row>
    <row r="175">
      <c r="A175" s="4"/>
      <c r="B175" s="4"/>
      <c r="C175" s="24"/>
      <c r="D175" s="4"/>
      <c r="E175" s="41"/>
      <c r="F175" s="57"/>
      <c r="G175" s="58"/>
    </row>
    <row r="176">
      <c r="A176" s="4"/>
      <c r="B176" s="4"/>
      <c r="C176" s="24"/>
      <c r="D176" s="4"/>
      <c r="E176" s="41"/>
      <c r="F176" s="57"/>
      <c r="G176" s="58"/>
    </row>
    <row r="177">
      <c r="A177" s="4"/>
      <c r="B177" s="4"/>
      <c r="C177" s="24"/>
      <c r="D177" s="4"/>
      <c r="E177" s="41"/>
      <c r="F177" s="57"/>
      <c r="G177" s="58"/>
    </row>
    <row r="178">
      <c r="A178" s="4"/>
      <c r="B178" s="4"/>
      <c r="C178" s="24"/>
      <c r="D178" s="4"/>
      <c r="E178" s="41"/>
      <c r="F178" s="57"/>
      <c r="G178" s="58"/>
    </row>
    <row r="179">
      <c r="A179" s="4"/>
      <c r="B179" s="4"/>
      <c r="C179" s="24"/>
      <c r="D179" s="4"/>
      <c r="E179" s="41"/>
      <c r="F179" s="57"/>
      <c r="G179" s="58"/>
    </row>
    <row r="180">
      <c r="A180" s="4"/>
      <c r="B180" s="4"/>
      <c r="C180" s="24"/>
      <c r="D180" s="4"/>
      <c r="E180" s="41"/>
      <c r="F180" s="57"/>
      <c r="G180" s="58"/>
    </row>
    <row r="181">
      <c r="A181" s="4"/>
      <c r="B181" s="4"/>
      <c r="C181" s="24"/>
      <c r="D181" s="4"/>
      <c r="E181" s="41"/>
      <c r="F181" s="57"/>
      <c r="G181" s="58"/>
    </row>
    <row r="182">
      <c r="A182" s="4"/>
      <c r="B182" s="4"/>
      <c r="C182" s="24"/>
      <c r="D182" s="4"/>
      <c r="E182" s="41"/>
      <c r="F182" s="57"/>
      <c r="G182" s="58"/>
    </row>
    <row r="183">
      <c r="A183" s="4"/>
      <c r="B183" s="4"/>
      <c r="C183" s="24"/>
      <c r="D183" s="4"/>
      <c r="E183" s="41"/>
      <c r="F183" s="57"/>
      <c r="G183" s="58"/>
    </row>
    <row r="184">
      <c r="A184" s="4"/>
      <c r="B184" s="4"/>
      <c r="C184" s="24"/>
      <c r="D184" s="4"/>
      <c r="E184" s="41"/>
      <c r="F184" s="57"/>
      <c r="G184" s="58"/>
    </row>
    <row r="185">
      <c r="A185" s="4"/>
      <c r="B185" s="4"/>
      <c r="C185" s="24"/>
      <c r="D185" s="4"/>
      <c r="E185" s="41"/>
      <c r="F185" s="57"/>
      <c r="G185" s="58"/>
    </row>
    <row r="186">
      <c r="A186" s="4"/>
      <c r="B186" s="4"/>
      <c r="C186" s="24"/>
      <c r="D186" s="4"/>
      <c r="E186" s="41"/>
      <c r="F186" s="57"/>
      <c r="G186" s="58"/>
    </row>
    <row r="187">
      <c r="A187" s="4"/>
      <c r="B187" s="4"/>
      <c r="C187" s="24"/>
      <c r="D187" s="4"/>
      <c r="E187" s="41"/>
      <c r="F187" s="57"/>
      <c r="G187" s="58"/>
    </row>
    <row r="188">
      <c r="A188" s="4"/>
      <c r="B188" s="4"/>
      <c r="C188" s="24"/>
      <c r="D188" s="4"/>
      <c r="E188" s="44"/>
      <c r="F188" s="57"/>
      <c r="G188" s="58"/>
    </row>
    <row r="189">
      <c r="A189" s="4"/>
      <c r="B189" s="4"/>
      <c r="C189" s="24"/>
      <c r="D189" s="4"/>
      <c r="E189" s="41"/>
      <c r="F189" s="57"/>
      <c r="G189" s="58"/>
    </row>
    <row r="190">
      <c r="A190" s="4"/>
      <c r="B190" s="4"/>
      <c r="C190" s="24"/>
      <c r="D190" s="4"/>
      <c r="E190" s="41"/>
      <c r="F190" s="57"/>
      <c r="G190" s="58"/>
    </row>
    <row r="191">
      <c r="A191" s="4"/>
      <c r="B191" s="4"/>
      <c r="C191" s="24"/>
      <c r="D191" s="4"/>
      <c r="E191" s="41"/>
      <c r="F191" s="57"/>
      <c r="G191" s="58"/>
    </row>
    <row r="192">
      <c r="A192" s="4"/>
      <c r="B192" s="4"/>
      <c r="C192" s="24"/>
      <c r="D192" s="4"/>
      <c r="E192" s="41"/>
      <c r="F192" s="57"/>
      <c r="G192" s="58"/>
    </row>
    <row r="193">
      <c r="A193" s="4"/>
      <c r="B193" s="4"/>
      <c r="C193" s="24"/>
      <c r="D193" s="4"/>
      <c r="E193" s="41"/>
      <c r="F193" s="57"/>
      <c r="G193" s="58"/>
    </row>
    <row r="194">
      <c r="A194" s="4"/>
      <c r="B194" s="4"/>
      <c r="C194" s="24"/>
      <c r="D194" s="4"/>
      <c r="E194" s="41"/>
      <c r="F194" s="57"/>
      <c r="G194" s="58"/>
    </row>
    <row r="195">
      <c r="A195" s="4"/>
      <c r="B195" s="4"/>
      <c r="C195" s="24"/>
      <c r="D195" s="4"/>
      <c r="E195" s="41"/>
      <c r="F195" s="57"/>
      <c r="G195" s="58"/>
    </row>
    <row r="196">
      <c r="A196" s="4"/>
      <c r="B196" s="4"/>
      <c r="C196" s="24"/>
      <c r="D196" s="4"/>
      <c r="E196" s="41"/>
      <c r="F196" s="57"/>
      <c r="G196" s="58"/>
    </row>
    <row r="197">
      <c r="A197" s="4"/>
      <c r="B197" s="4"/>
      <c r="C197" s="24"/>
      <c r="D197" s="4"/>
      <c r="E197" s="41"/>
      <c r="F197" s="57"/>
      <c r="G197" s="58"/>
    </row>
    <row r="198">
      <c r="A198" s="4"/>
      <c r="B198" s="4"/>
      <c r="C198" s="24"/>
      <c r="D198" s="4"/>
      <c r="E198" s="41"/>
      <c r="F198" s="57"/>
      <c r="G198" s="58"/>
    </row>
    <row r="199">
      <c r="A199" s="4"/>
      <c r="B199" s="4"/>
      <c r="C199" s="24"/>
      <c r="D199" s="4"/>
      <c r="E199" s="41"/>
      <c r="F199" s="57"/>
      <c r="G199" s="58"/>
    </row>
    <row r="200">
      <c r="A200" s="4"/>
      <c r="B200" s="4"/>
      <c r="C200" s="24"/>
      <c r="D200" s="4"/>
      <c r="E200" s="41"/>
      <c r="F200" s="57"/>
      <c r="G200" s="58"/>
    </row>
    <row r="201">
      <c r="A201" s="4"/>
      <c r="B201" s="4"/>
      <c r="C201" s="24"/>
      <c r="D201" s="4"/>
      <c r="E201" s="41"/>
      <c r="F201" s="57"/>
      <c r="G201" s="58"/>
    </row>
    <row r="202">
      <c r="A202" s="4"/>
      <c r="B202" s="4"/>
      <c r="C202" s="24"/>
      <c r="D202" s="4"/>
      <c r="E202" s="41"/>
      <c r="F202" s="57"/>
      <c r="G202" s="58"/>
    </row>
    <row r="203">
      <c r="A203" s="4"/>
      <c r="B203" s="4"/>
      <c r="C203" s="24"/>
      <c r="D203" s="4"/>
      <c r="E203" s="41"/>
      <c r="F203" s="57"/>
      <c r="G203" s="58"/>
    </row>
    <row r="204">
      <c r="A204" s="4"/>
      <c r="B204" s="4"/>
      <c r="C204" s="24"/>
      <c r="D204" s="4"/>
      <c r="E204" s="41"/>
      <c r="F204" s="57"/>
      <c r="G204" s="58"/>
    </row>
    <row r="205">
      <c r="A205" s="4"/>
      <c r="B205" s="4"/>
      <c r="C205" s="24"/>
      <c r="D205" s="4"/>
      <c r="E205" s="41"/>
      <c r="F205" s="57"/>
      <c r="G205" s="58"/>
    </row>
    <row r="206">
      <c r="A206" s="4"/>
      <c r="B206" s="4"/>
      <c r="C206" s="24"/>
      <c r="D206" s="4"/>
      <c r="E206" s="41"/>
      <c r="F206" s="57"/>
      <c r="G206" s="58"/>
    </row>
    <row r="207">
      <c r="A207" s="4"/>
      <c r="B207" s="4"/>
      <c r="C207" s="24"/>
      <c r="D207" s="4"/>
      <c r="E207" s="41"/>
      <c r="F207" s="57"/>
      <c r="G207" s="58"/>
    </row>
    <row r="208">
      <c r="A208" s="4"/>
      <c r="B208" s="4"/>
      <c r="C208" s="24"/>
      <c r="D208" s="4"/>
      <c r="E208" s="41"/>
      <c r="F208" s="57"/>
      <c r="G208" s="58"/>
    </row>
    <row r="209">
      <c r="A209" s="4"/>
      <c r="B209" s="4"/>
      <c r="C209" s="24"/>
      <c r="D209" s="4"/>
      <c r="E209" s="41"/>
      <c r="F209" s="57"/>
      <c r="G209" s="58"/>
    </row>
    <row r="210">
      <c r="A210" s="4"/>
      <c r="B210" s="4"/>
      <c r="C210" s="24"/>
      <c r="D210" s="4"/>
      <c r="E210" s="41"/>
      <c r="F210" s="57"/>
      <c r="G210" s="58"/>
    </row>
    <row r="211">
      <c r="A211" s="4"/>
      <c r="B211" s="4"/>
      <c r="C211" s="24"/>
      <c r="D211" s="4"/>
      <c r="E211" s="41"/>
      <c r="F211" s="57"/>
      <c r="G211" s="58"/>
    </row>
    <row r="212">
      <c r="A212" s="4"/>
      <c r="B212" s="4"/>
      <c r="C212" s="24"/>
      <c r="D212" s="4"/>
      <c r="E212" s="41"/>
      <c r="F212" s="57"/>
      <c r="G212" s="58"/>
    </row>
    <row r="213">
      <c r="A213" s="4"/>
      <c r="B213" s="4"/>
      <c r="C213" s="24"/>
      <c r="D213" s="4"/>
      <c r="E213" s="41"/>
      <c r="F213" s="57"/>
      <c r="G213" s="58"/>
    </row>
    <row r="214">
      <c r="A214" s="4"/>
      <c r="B214" s="4"/>
      <c r="C214" s="24"/>
      <c r="D214" s="4"/>
      <c r="E214" s="41"/>
      <c r="F214" s="57"/>
      <c r="G214" s="58"/>
    </row>
    <row r="215">
      <c r="A215" s="4"/>
      <c r="B215" s="4"/>
      <c r="C215" s="24"/>
      <c r="D215" s="4"/>
      <c r="E215" s="41"/>
      <c r="F215" s="57"/>
      <c r="G215" s="58"/>
    </row>
    <row r="216">
      <c r="A216" s="4"/>
      <c r="B216" s="4"/>
      <c r="C216" s="24"/>
      <c r="D216" s="4"/>
      <c r="E216" s="41"/>
      <c r="F216" s="57"/>
      <c r="G216" s="58"/>
    </row>
    <row r="217">
      <c r="A217" s="4"/>
      <c r="B217" s="4"/>
      <c r="C217" s="24"/>
      <c r="D217" s="4"/>
      <c r="E217" s="41"/>
      <c r="F217" s="57"/>
      <c r="G217" s="58"/>
    </row>
    <row r="218">
      <c r="A218" s="4"/>
      <c r="B218" s="4"/>
      <c r="C218" s="24"/>
      <c r="D218" s="4"/>
      <c r="E218" s="41"/>
      <c r="F218" s="57"/>
      <c r="G218" s="58"/>
    </row>
    <row r="219">
      <c r="A219" s="4"/>
      <c r="B219" s="4"/>
      <c r="C219" s="24"/>
      <c r="D219" s="4"/>
      <c r="E219" s="41"/>
      <c r="F219" s="57"/>
      <c r="G219" s="58"/>
    </row>
    <row r="220">
      <c r="A220" s="4"/>
      <c r="B220" s="4"/>
      <c r="C220" s="24"/>
      <c r="D220" s="4"/>
      <c r="E220" s="41"/>
      <c r="F220" s="57"/>
      <c r="G220" s="58"/>
    </row>
    <row r="221">
      <c r="A221" s="4"/>
      <c r="B221" s="4"/>
      <c r="C221" s="24"/>
      <c r="D221" s="4"/>
      <c r="E221" s="41"/>
      <c r="F221" s="57"/>
      <c r="G221" s="58"/>
    </row>
    <row r="222">
      <c r="A222" s="4"/>
      <c r="B222" s="4"/>
      <c r="C222" s="24"/>
      <c r="D222" s="4"/>
      <c r="E222" s="41"/>
      <c r="F222" s="57"/>
      <c r="G222" s="58"/>
    </row>
    <row r="223">
      <c r="A223" s="4"/>
      <c r="B223" s="4"/>
      <c r="C223" s="24"/>
      <c r="D223" s="4"/>
      <c r="E223" s="41"/>
      <c r="F223" s="57"/>
      <c r="G223" s="58"/>
    </row>
    <row r="224">
      <c r="A224" s="4"/>
      <c r="B224" s="4"/>
      <c r="C224" s="24"/>
      <c r="D224" s="4"/>
      <c r="E224" s="41"/>
      <c r="F224" s="57"/>
      <c r="G224" s="58"/>
    </row>
    <row r="225">
      <c r="A225" s="4"/>
      <c r="B225" s="4"/>
      <c r="C225" s="24"/>
      <c r="D225" s="4"/>
      <c r="E225" s="41"/>
      <c r="F225" s="57"/>
      <c r="G225" s="58"/>
    </row>
    <row r="226">
      <c r="A226" s="4"/>
      <c r="B226" s="4"/>
      <c r="C226" s="24"/>
      <c r="D226" s="4"/>
      <c r="E226" s="41"/>
      <c r="F226" s="57"/>
      <c r="G226" s="58"/>
    </row>
    <row r="227">
      <c r="A227" s="4"/>
      <c r="B227" s="4"/>
      <c r="C227" s="24"/>
      <c r="D227" s="4"/>
      <c r="E227" s="41"/>
      <c r="F227" s="57"/>
      <c r="G227" s="58"/>
    </row>
    <row r="228">
      <c r="A228" s="4"/>
      <c r="B228" s="4"/>
      <c r="C228" s="24"/>
      <c r="D228" s="4"/>
      <c r="E228" s="41"/>
      <c r="F228" s="57"/>
      <c r="G228" s="58"/>
    </row>
    <row r="229">
      <c r="A229" s="4"/>
      <c r="B229" s="4"/>
      <c r="C229" s="24"/>
      <c r="D229" s="4"/>
      <c r="E229" s="41"/>
      <c r="F229" s="57"/>
      <c r="G229" s="58"/>
    </row>
    <row r="230">
      <c r="A230" s="4"/>
      <c r="B230" s="4"/>
      <c r="C230" s="24"/>
      <c r="D230" s="4"/>
      <c r="E230" s="41"/>
      <c r="F230" s="57"/>
      <c r="G230" s="58"/>
    </row>
    <row r="231">
      <c r="A231" s="4"/>
      <c r="B231" s="4"/>
      <c r="C231" s="28"/>
      <c r="D231" s="4"/>
      <c r="E231" s="41"/>
      <c r="F231" s="57"/>
      <c r="G231" s="58"/>
    </row>
    <row r="232">
      <c r="A232" s="4"/>
      <c r="B232" s="4"/>
      <c r="C232" s="28"/>
      <c r="D232" s="4"/>
      <c r="E232" s="41"/>
      <c r="F232" s="57"/>
      <c r="G232" s="58"/>
    </row>
    <row r="233">
      <c r="A233" s="4"/>
      <c r="B233" s="4"/>
      <c r="C233" s="28"/>
      <c r="D233" s="4"/>
      <c r="E233" s="41"/>
      <c r="F233" s="57"/>
      <c r="G233" s="58"/>
    </row>
    <row r="234">
      <c r="A234" s="4"/>
      <c r="B234" s="4"/>
      <c r="C234" s="24"/>
      <c r="D234" s="4"/>
      <c r="E234" s="41"/>
      <c r="F234" s="57"/>
      <c r="G234" s="58"/>
    </row>
    <row r="235">
      <c r="A235" s="4"/>
      <c r="B235" s="4"/>
      <c r="C235" s="24"/>
      <c r="D235" s="4"/>
      <c r="E235" s="41"/>
      <c r="F235" s="57"/>
      <c r="G235" s="58"/>
    </row>
    <row r="236">
      <c r="A236" s="4"/>
      <c r="B236" s="4"/>
      <c r="C236" s="24"/>
      <c r="D236" s="4"/>
      <c r="E236" s="41"/>
      <c r="F236" s="57"/>
      <c r="G236" s="58"/>
    </row>
    <row r="237">
      <c r="A237" s="4"/>
      <c r="B237" s="4"/>
      <c r="C237" s="24"/>
      <c r="D237" s="4"/>
      <c r="E237" s="41"/>
      <c r="F237" s="57"/>
      <c r="G237" s="58"/>
    </row>
    <row r="238">
      <c r="A238" s="4"/>
      <c r="B238" s="4"/>
      <c r="C238" s="24"/>
      <c r="D238" s="4"/>
      <c r="E238" s="41"/>
      <c r="F238" s="57"/>
      <c r="G238" s="58"/>
    </row>
    <row r="239">
      <c r="A239" s="4"/>
      <c r="B239" s="4"/>
      <c r="C239" s="24"/>
      <c r="D239" s="4"/>
      <c r="E239" s="41"/>
      <c r="F239" s="57"/>
      <c r="G239" s="58"/>
    </row>
    <row r="240">
      <c r="A240" s="4"/>
      <c r="B240" s="4"/>
      <c r="C240" s="24"/>
      <c r="D240" s="4"/>
      <c r="E240" s="41"/>
      <c r="F240" s="57"/>
      <c r="G240" s="58"/>
    </row>
    <row r="241">
      <c r="A241" s="4"/>
      <c r="B241" s="4"/>
      <c r="C241" s="24"/>
      <c r="D241" s="4"/>
      <c r="E241" s="41"/>
      <c r="F241" s="57"/>
      <c r="G241" s="58"/>
    </row>
    <row r="242">
      <c r="A242" s="4"/>
      <c r="B242" s="4"/>
      <c r="C242" s="24"/>
      <c r="D242" s="4"/>
      <c r="E242" s="41"/>
      <c r="F242" s="57"/>
      <c r="G242" s="58"/>
    </row>
    <row r="243">
      <c r="A243" s="4"/>
      <c r="B243" s="4"/>
      <c r="C243" s="24"/>
      <c r="D243" s="4"/>
      <c r="E243" s="41"/>
      <c r="F243" s="57"/>
      <c r="G243" s="58"/>
    </row>
    <row r="244">
      <c r="A244" s="4"/>
      <c r="B244" s="4"/>
      <c r="C244" s="24"/>
      <c r="D244" s="4"/>
      <c r="E244" s="41"/>
      <c r="F244" s="57"/>
      <c r="G244" s="58"/>
    </row>
    <row r="245">
      <c r="A245" s="4"/>
      <c r="B245" s="4"/>
      <c r="C245" s="24"/>
      <c r="D245" s="4"/>
      <c r="E245" s="41"/>
      <c r="F245" s="57"/>
      <c r="G245" s="58"/>
    </row>
    <row r="246">
      <c r="A246" s="4"/>
      <c r="B246" s="4"/>
      <c r="C246" s="28"/>
      <c r="D246" s="4"/>
      <c r="E246" s="41"/>
      <c r="F246" s="57"/>
      <c r="G246" s="58"/>
    </row>
    <row r="247">
      <c r="A247" s="4"/>
      <c r="B247" s="4"/>
      <c r="C247" s="24"/>
      <c r="D247" s="4"/>
      <c r="E247" s="41"/>
      <c r="F247" s="57"/>
      <c r="G247" s="58"/>
    </row>
    <row r="248">
      <c r="A248" s="4"/>
      <c r="B248" s="4"/>
      <c r="C248" s="24"/>
      <c r="D248" s="4"/>
      <c r="E248" s="41"/>
      <c r="F248" s="57"/>
      <c r="G248" s="58"/>
    </row>
    <row r="249">
      <c r="A249" s="33"/>
      <c r="B249" s="33"/>
      <c r="C249" s="45"/>
      <c r="D249" s="33"/>
      <c r="E249" s="45"/>
      <c r="F249" s="57"/>
      <c r="G249" s="58"/>
    </row>
    <row r="250">
      <c r="A250" s="33"/>
      <c r="B250" s="33"/>
      <c r="C250" s="45"/>
      <c r="D250" s="33"/>
      <c r="E250" s="45"/>
      <c r="F250" s="57"/>
      <c r="G250" s="58"/>
    </row>
    <row r="251">
      <c r="A251" s="33"/>
      <c r="B251" s="33"/>
      <c r="C251" s="45"/>
      <c r="D251" s="33"/>
      <c r="E251" s="45"/>
      <c r="F251" s="57"/>
      <c r="G251" s="58"/>
    </row>
    <row r="252">
      <c r="A252" s="33"/>
      <c r="B252" s="33"/>
      <c r="C252" s="45"/>
      <c r="D252" s="33"/>
      <c r="E252" s="45"/>
      <c r="F252" s="57"/>
      <c r="G252" s="58"/>
    </row>
    <row r="253">
      <c r="A253" s="33"/>
      <c r="B253" s="33"/>
      <c r="C253" s="45"/>
      <c r="D253" s="33"/>
      <c r="E253" s="45"/>
      <c r="F253" s="57"/>
      <c r="G253" s="58"/>
    </row>
    <row r="254">
      <c r="A254" s="33"/>
      <c r="B254" s="33"/>
      <c r="C254" s="45"/>
      <c r="D254" s="33"/>
      <c r="E254" s="45"/>
      <c r="F254" s="57"/>
      <c r="G254" s="58"/>
    </row>
    <row r="255">
      <c r="A255" s="33"/>
      <c r="B255" s="33"/>
      <c r="C255" s="45"/>
      <c r="D255" s="33"/>
      <c r="E255" s="45"/>
      <c r="F255" s="57"/>
      <c r="G255" s="58"/>
    </row>
    <row r="256">
      <c r="A256" s="33"/>
      <c r="B256" s="33"/>
      <c r="C256" s="45"/>
      <c r="D256" s="33"/>
      <c r="E256" s="45"/>
      <c r="F256" s="57"/>
      <c r="G256" s="58"/>
    </row>
    <row r="257">
      <c r="A257" s="33"/>
      <c r="B257" s="33"/>
      <c r="C257" s="45"/>
      <c r="D257" s="33"/>
      <c r="E257" s="45"/>
      <c r="F257" s="57"/>
      <c r="G257" s="58"/>
    </row>
    <row r="258">
      <c r="A258" s="33"/>
      <c r="B258" s="33"/>
      <c r="C258" s="45"/>
      <c r="D258" s="33"/>
      <c r="E258" s="45"/>
      <c r="F258" s="57"/>
      <c r="G258" s="58"/>
    </row>
    <row r="259">
      <c r="A259" s="33"/>
      <c r="B259" s="33"/>
      <c r="C259" s="45"/>
      <c r="D259" s="33"/>
      <c r="E259" s="45"/>
      <c r="F259" s="57"/>
      <c r="G259" s="58"/>
    </row>
    <row r="260">
      <c r="A260" s="33"/>
      <c r="B260" s="33"/>
      <c r="C260" s="45"/>
      <c r="D260" s="33"/>
      <c r="E260" s="45"/>
      <c r="F260" s="57"/>
      <c r="G260" s="58"/>
    </row>
    <row r="261">
      <c r="A261" s="33"/>
      <c r="B261" s="33"/>
      <c r="C261" s="45"/>
      <c r="D261" s="33"/>
      <c r="E261" s="45"/>
      <c r="F261" s="57"/>
      <c r="G261" s="58"/>
    </row>
    <row r="262">
      <c r="A262" s="33"/>
      <c r="B262" s="33"/>
      <c r="C262" s="45"/>
      <c r="D262" s="33"/>
      <c r="E262" s="45"/>
      <c r="F262" s="57"/>
      <c r="G262" s="58"/>
    </row>
    <row r="263">
      <c r="A263" s="33"/>
      <c r="B263" s="33"/>
      <c r="C263" s="45"/>
      <c r="D263" s="33"/>
      <c r="E263" s="45"/>
      <c r="F263" s="57"/>
      <c r="G263" s="58"/>
    </row>
    <row r="264">
      <c r="A264" s="33"/>
      <c r="B264" s="33"/>
      <c r="C264" s="45"/>
      <c r="D264" s="33"/>
      <c r="E264" s="45"/>
      <c r="F264" s="57"/>
      <c r="G264" s="58"/>
    </row>
    <row r="265">
      <c r="A265" s="33"/>
      <c r="B265" s="33"/>
      <c r="C265" s="45"/>
      <c r="D265" s="33"/>
      <c r="E265" s="45"/>
      <c r="F265" s="57"/>
      <c r="G265" s="58"/>
    </row>
    <row r="266">
      <c r="A266" s="33"/>
      <c r="B266" s="33"/>
      <c r="C266" s="45"/>
      <c r="D266" s="33"/>
      <c r="E266" s="45"/>
      <c r="F266" s="57"/>
      <c r="G266" s="58"/>
    </row>
    <row r="267">
      <c r="A267" s="33"/>
      <c r="B267" s="33"/>
      <c r="C267" s="45"/>
      <c r="D267" s="33"/>
      <c r="E267" s="45"/>
      <c r="F267" s="57"/>
      <c r="G267" s="58"/>
    </row>
    <row r="268">
      <c r="A268" s="33"/>
      <c r="B268" s="33"/>
      <c r="C268" s="45"/>
      <c r="D268" s="33"/>
      <c r="E268" s="45"/>
      <c r="F268" s="57"/>
      <c r="G268" s="58"/>
    </row>
    <row r="269">
      <c r="A269" s="33"/>
      <c r="B269" s="33"/>
      <c r="C269" s="45"/>
      <c r="D269" s="33"/>
      <c r="E269" s="45"/>
      <c r="F269" s="57"/>
      <c r="G269" s="58"/>
    </row>
    <row r="270">
      <c r="A270" s="33"/>
      <c r="B270" s="33"/>
      <c r="C270" s="45"/>
      <c r="D270" s="33"/>
      <c r="E270" s="45"/>
      <c r="F270" s="57"/>
      <c r="G270" s="58"/>
    </row>
    <row r="271">
      <c r="A271" s="33"/>
      <c r="B271" s="33"/>
      <c r="C271" s="45"/>
      <c r="D271" s="33"/>
      <c r="E271" s="45"/>
      <c r="F271" s="57"/>
      <c r="G271" s="58"/>
    </row>
    <row r="272">
      <c r="A272" s="33"/>
      <c r="B272" s="33"/>
      <c r="C272" s="45"/>
      <c r="D272" s="33"/>
      <c r="E272" s="45"/>
      <c r="F272" s="57"/>
      <c r="G272" s="58"/>
    </row>
    <row r="273">
      <c r="A273" s="33"/>
      <c r="B273" s="33"/>
      <c r="C273" s="45"/>
      <c r="D273" s="33"/>
      <c r="E273" s="45"/>
      <c r="F273" s="57"/>
      <c r="G273" s="58"/>
    </row>
    <row r="274">
      <c r="A274" s="33"/>
      <c r="B274" s="33"/>
      <c r="C274" s="45"/>
      <c r="D274" s="33"/>
      <c r="E274" s="45"/>
      <c r="F274" s="57"/>
      <c r="G274" s="58"/>
    </row>
    <row r="275">
      <c r="A275" s="33"/>
      <c r="B275" s="33"/>
      <c r="C275" s="45"/>
      <c r="D275" s="33"/>
      <c r="E275" s="45"/>
      <c r="F275" s="57"/>
      <c r="G275" s="58"/>
    </row>
    <row r="276">
      <c r="A276" s="33"/>
      <c r="B276" s="33"/>
      <c r="C276" s="45"/>
      <c r="D276" s="33"/>
      <c r="E276" s="45"/>
      <c r="F276" s="57"/>
      <c r="G276" s="58"/>
    </row>
    <row r="277">
      <c r="A277" s="33"/>
      <c r="B277" s="33"/>
      <c r="C277" s="45"/>
      <c r="D277" s="33"/>
      <c r="E277" s="45"/>
      <c r="F277" s="57"/>
      <c r="G277" s="58"/>
    </row>
    <row r="278">
      <c r="A278" s="33"/>
      <c r="B278" s="33"/>
      <c r="C278" s="45"/>
      <c r="D278" s="33"/>
      <c r="E278" s="45"/>
      <c r="F278" s="57"/>
      <c r="G278" s="58"/>
    </row>
    <row r="279">
      <c r="A279" s="33"/>
      <c r="B279" s="33"/>
      <c r="C279" s="45"/>
      <c r="D279" s="33"/>
      <c r="E279" s="45"/>
      <c r="F279" s="57"/>
      <c r="G279" s="58"/>
    </row>
    <row r="280">
      <c r="A280" s="33"/>
      <c r="B280" s="33"/>
      <c r="C280" s="45"/>
      <c r="D280" s="33"/>
      <c r="E280" s="45"/>
      <c r="F280" s="57"/>
      <c r="G280" s="58"/>
    </row>
    <row r="281">
      <c r="A281" s="33"/>
      <c r="B281" s="33"/>
      <c r="C281" s="45"/>
      <c r="D281" s="33"/>
      <c r="E281" s="45"/>
      <c r="F281" s="57"/>
      <c r="G281" s="58"/>
    </row>
    <row r="282">
      <c r="A282" s="33"/>
      <c r="B282" s="33"/>
      <c r="C282" s="45"/>
      <c r="D282" s="33"/>
      <c r="E282" s="45"/>
      <c r="F282" s="57"/>
      <c r="G282" s="58"/>
    </row>
    <row r="283">
      <c r="A283" s="33"/>
      <c r="B283" s="33"/>
      <c r="C283" s="45"/>
      <c r="D283" s="33"/>
      <c r="E283" s="45"/>
      <c r="F283" s="57"/>
      <c r="G283" s="58"/>
    </row>
    <row r="284">
      <c r="A284" s="33"/>
      <c r="B284" s="33"/>
      <c r="C284" s="45"/>
      <c r="D284" s="33"/>
      <c r="E284" s="45"/>
      <c r="F284" s="57"/>
      <c r="G284" s="58"/>
    </row>
    <row r="285">
      <c r="A285" s="33"/>
      <c r="B285" s="33"/>
      <c r="C285" s="45"/>
      <c r="D285" s="33"/>
      <c r="E285" s="45"/>
      <c r="F285" s="57"/>
      <c r="G285" s="58"/>
    </row>
    <row r="286">
      <c r="A286" s="33"/>
      <c r="B286" s="33"/>
      <c r="C286" s="45"/>
      <c r="D286" s="33"/>
      <c r="E286" s="45"/>
      <c r="F286" s="57"/>
      <c r="G286" s="58"/>
    </row>
    <row r="287">
      <c r="A287" s="33"/>
      <c r="B287" s="33"/>
      <c r="C287" s="45"/>
      <c r="D287" s="33"/>
      <c r="E287" s="45"/>
      <c r="F287" s="57"/>
      <c r="G287" s="58"/>
    </row>
    <row r="288">
      <c r="A288" s="33"/>
      <c r="B288" s="33"/>
      <c r="C288" s="45"/>
      <c r="D288" s="33"/>
      <c r="E288" s="45"/>
      <c r="F288" s="57"/>
      <c r="G288" s="58"/>
    </row>
    <row r="289">
      <c r="A289" s="33"/>
      <c r="B289" s="33"/>
      <c r="C289" s="45"/>
      <c r="D289" s="33"/>
      <c r="E289" s="45"/>
      <c r="F289" s="57"/>
      <c r="G289" s="58"/>
    </row>
    <row r="290">
      <c r="A290" s="33"/>
      <c r="B290" s="33"/>
      <c r="C290" s="45"/>
      <c r="D290" s="33"/>
      <c r="E290" s="45"/>
      <c r="F290" s="57"/>
      <c r="G290" s="58"/>
    </row>
    <row r="291">
      <c r="A291" s="33"/>
      <c r="B291" s="33"/>
      <c r="C291" s="45"/>
      <c r="D291" s="33"/>
      <c r="E291" s="45"/>
      <c r="F291" s="57"/>
      <c r="G291" s="58"/>
    </row>
    <row r="292">
      <c r="A292" s="33"/>
      <c r="B292" s="33"/>
      <c r="C292" s="45"/>
      <c r="D292" s="33"/>
      <c r="E292" s="45"/>
      <c r="F292" s="57"/>
      <c r="G292" s="58"/>
    </row>
    <row r="293">
      <c r="A293" s="33"/>
      <c r="B293" s="33"/>
      <c r="C293" s="45"/>
      <c r="D293" s="33"/>
      <c r="E293" s="45"/>
      <c r="F293" s="57"/>
      <c r="G293" s="58"/>
    </row>
    <row r="294">
      <c r="A294" s="33"/>
      <c r="B294" s="33"/>
      <c r="C294" s="45"/>
      <c r="D294" s="33"/>
      <c r="E294" s="45"/>
      <c r="F294" s="57"/>
      <c r="G294" s="58"/>
    </row>
    <row r="295">
      <c r="A295" s="33"/>
      <c r="B295" s="33"/>
      <c r="C295" s="45"/>
      <c r="D295" s="33"/>
      <c r="E295" s="45"/>
      <c r="F295" s="57"/>
      <c r="G295" s="58"/>
    </row>
    <row r="296">
      <c r="A296" s="33"/>
      <c r="B296" s="33"/>
      <c r="C296" s="45"/>
      <c r="D296" s="33"/>
      <c r="E296" s="45"/>
      <c r="F296" s="57"/>
      <c r="G296" s="58"/>
    </row>
    <row r="297">
      <c r="A297" s="33"/>
      <c r="B297" s="33"/>
      <c r="C297" s="45"/>
      <c r="D297" s="33"/>
      <c r="E297" s="45"/>
      <c r="F297" s="57"/>
      <c r="G297" s="58"/>
    </row>
    <row r="298">
      <c r="A298" s="33"/>
      <c r="B298" s="33"/>
      <c r="C298" s="45"/>
      <c r="D298" s="33"/>
      <c r="E298" s="45"/>
      <c r="F298" s="57"/>
      <c r="G298" s="58"/>
    </row>
    <row r="299">
      <c r="A299" s="33"/>
      <c r="B299" s="33"/>
      <c r="C299" s="45"/>
      <c r="D299" s="33"/>
      <c r="E299" s="45"/>
      <c r="F299" s="57"/>
      <c r="G299" s="58"/>
    </row>
    <row r="300">
      <c r="A300" s="33"/>
      <c r="B300" s="33"/>
      <c r="C300" s="45"/>
      <c r="D300" s="33"/>
      <c r="E300" s="45"/>
      <c r="F300" s="57"/>
      <c r="G300" s="58"/>
    </row>
    <row r="301">
      <c r="A301" s="33"/>
      <c r="B301" s="33"/>
      <c r="C301" s="45"/>
      <c r="D301" s="33"/>
      <c r="E301" s="45"/>
      <c r="F301" s="57"/>
      <c r="G301" s="58"/>
    </row>
    <row r="302">
      <c r="A302" s="33"/>
      <c r="B302" s="33"/>
      <c r="C302" s="45"/>
      <c r="D302" s="33"/>
      <c r="E302" s="45"/>
      <c r="F302" s="57"/>
      <c r="G302" s="58"/>
    </row>
    <row r="303">
      <c r="A303" s="33"/>
      <c r="B303" s="33"/>
      <c r="C303" s="45"/>
      <c r="D303" s="33"/>
      <c r="E303" s="45"/>
      <c r="F303" s="57"/>
      <c r="G303" s="58"/>
    </row>
    <row r="304">
      <c r="A304" s="33"/>
      <c r="B304" s="33"/>
      <c r="C304" s="45"/>
      <c r="D304" s="33"/>
      <c r="E304" s="45"/>
      <c r="F304" s="57"/>
      <c r="G304" s="58"/>
    </row>
    <row r="305">
      <c r="A305" s="33"/>
      <c r="B305" s="33"/>
      <c r="C305" s="45"/>
      <c r="D305" s="33"/>
      <c r="E305" s="45"/>
      <c r="F305" s="57"/>
      <c r="G305" s="58"/>
    </row>
    <row r="306">
      <c r="A306" s="33"/>
      <c r="B306" s="33"/>
      <c r="C306" s="45"/>
      <c r="D306" s="33"/>
      <c r="E306" s="45"/>
      <c r="F306" s="57"/>
      <c r="G306" s="58"/>
    </row>
    <row r="307">
      <c r="A307" s="33"/>
      <c r="B307" s="33"/>
      <c r="C307" s="45"/>
      <c r="D307" s="33"/>
      <c r="E307" s="45"/>
      <c r="F307" s="57"/>
      <c r="G307" s="58"/>
    </row>
    <row r="308">
      <c r="A308" s="33"/>
      <c r="B308" s="33"/>
      <c r="C308" s="45"/>
      <c r="D308" s="33"/>
      <c r="E308" s="45"/>
      <c r="F308" s="57"/>
      <c r="G308" s="58"/>
    </row>
    <row r="309">
      <c r="A309" s="33"/>
      <c r="B309" s="33"/>
      <c r="C309" s="45"/>
      <c r="D309" s="33"/>
      <c r="E309" s="45"/>
      <c r="F309" s="57"/>
      <c r="G309" s="58"/>
    </row>
    <row r="310">
      <c r="A310" s="33"/>
      <c r="B310" s="33"/>
      <c r="C310" s="45"/>
      <c r="D310" s="33"/>
      <c r="E310" s="45"/>
      <c r="F310" s="57"/>
      <c r="G310" s="58"/>
    </row>
    <row r="311">
      <c r="A311" s="33"/>
      <c r="B311" s="33"/>
      <c r="C311" s="45"/>
      <c r="D311" s="33"/>
      <c r="E311" s="45"/>
      <c r="F311" s="57"/>
      <c r="G311" s="58"/>
    </row>
    <row r="312">
      <c r="A312" s="33"/>
      <c r="B312" s="33"/>
      <c r="C312" s="45"/>
      <c r="D312" s="33"/>
      <c r="E312" s="45"/>
      <c r="F312" s="57"/>
      <c r="G312" s="58"/>
    </row>
    <row r="313">
      <c r="A313" s="33"/>
      <c r="B313" s="33"/>
      <c r="C313" s="45"/>
      <c r="D313" s="33"/>
      <c r="E313" s="45"/>
      <c r="F313" s="57"/>
      <c r="G313" s="58"/>
    </row>
    <row r="314">
      <c r="A314" s="33"/>
      <c r="B314" s="33"/>
      <c r="C314" s="45"/>
      <c r="D314" s="33"/>
      <c r="E314" s="45"/>
      <c r="F314" s="57"/>
      <c r="G314" s="58"/>
    </row>
    <row r="315">
      <c r="A315" s="33"/>
      <c r="B315" s="33"/>
      <c r="C315" s="45"/>
      <c r="D315" s="33"/>
      <c r="E315" s="45"/>
      <c r="F315" s="57"/>
      <c r="G315" s="58"/>
    </row>
    <row r="316">
      <c r="A316" s="33"/>
      <c r="B316" s="33"/>
      <c r="C316" s="45"/>
      <c r="D316" s="33"/>
      <c r="E316" s="45"/>
      <c r="F316" s="57"/>
      <c r="G316" s="58"/>
    </row>
    <row r="317">
      <c r="A317" s="33"/>
      <c r="B317" s="33"/>
      <c r="C317" s="45"/>
      <c r="D317" s="33"/>
      <c r="E317" s="45"/>
      <c r="F317" s="57"/>
      <c r="G317" s="58"/>
    </row>
    <row r="318">
      <c r="A318" s="33"/>
      <c r="B318" s="33"/>
      <c r="C318" s="45"/>
      <c r="D318" s="33"/>
      <c r="E318" s="45"/>
      <c r="F318" s="57"/>
      <c r="G318" s="58"/>
    </row>
    <row r="319">
      <c r="A319" s="33"/>
      <c r="B319" s="33"/>
      <c r="C319" s="45"/>
      <c r="D319" s="33"/>
      <c r="E319" s="45"/>
      <c r="F319" s="57"/>
      <c r="G319" s="58"/>
    </row>
    <row r="320">
      <c r="A320" s="33"/>
      <c r="B320" s="33"/>
      <c r="C320" s="45"/>
      <c r="D320" s="33"/>
      <c r="E320" s="45"/>
      <c r="F320" s="57"/>
      <c r="G320" s="58"/>
    </row>
    <row r="321">
      <c r="C321" s="31"/>
      <c r="E321" s="31"/>
      <c r="F321" s="57"/>
      <c r="G321" s="58"/>
    </row>
    <row r="322">
      <c r="C322" s="31"/>
      <c r="E322" s="31"/>
      <c r="F322" s="57"/>
      <c r="G322" s="58"/>
    </row>
    <row r="323">
      <c r="C323" s="31"/>
      <c r="E323" s="31"/>
      <c r="F323" s="57"/>
      <c r="G323" s="58"/>
    </row>
    <row r="324">
      <c r="C324" s="31"/>
      <c r="E324" s="31"/>
      <c r="F324" s="57"/>
      <c r="G324" s="58"/>
    </row>
    <row r="325">
      <c r="C325" s="31"/>
      <c r="E325" s="31"/>
      <c r="F325" s="57"/>
      <c r="G325" s="58"/>
    </row>
    <row r="326">
      <c r="C326" s="31"/>
      <c r="E326" s="31"/>
      <c r="F326" s="57"/>
      <c r="G326" s="58"/>
    </row>
    <row r="327">
      <c r="C327" s="31"/>
      <c r="E327" s="31"/>
      <c r="F327" s="57"/>
      <c r="G327" s="58"/>
    </row>
    <row r="328">
      <c r="C328" s="31"/>
      <c r="E328" s="31"/>
      <c r="F328" s="57"/>
      <c r="G328" s="58"/>
    </row>
    <row r="329">
      <c r="C329" s="31"/>
      <c r="E329" s="31"/>
      <c r="F329" s="57"/>
      <c r="G329" s="58"/>
    </row>
    <row r="330">
      <c r="C330" s="31"/>
      <c r="E330" s="31"/>
      <c r="F330" s="57"/>
      <c r="G330" s="58"/>
    </row>
    <row r="331">
      <c r="C331" s="31"/>
      <c r="E331" s="31"/>
      <c r="F331" s="57"/>
      <c r="G331" s="58"/>
    </row>
    <row r="332">
      <c r="C332" s="31"/>
      <c r="E332" s="31"/>
      <c r="F332" s="57"/>
      <c r="G332" s="58"/>
    </row>
    <row r="333">
      <c r="C333" s="31"/>
      <c r="E333" s="31"/>
      <c r="F333" s="57"/>
      <c r="G333" s="58"/>
    </row>
    <row r="334">
      <c r="C334" s="31"/>
      <c r="E334" s="31"/>
      <c r="F334" s="57"/>
      <c r="G334" s="58"/>
    </row>
    <row r="335">
      <c r="C335" s="31"/>
      <c r="E335" s="31"/>
      <c r="F335" s="57"/>
      <c r="G335" s="58"/>
    </row>
    <row r="336">
      <c r="C336" s="31"/>
      <c r="E336" s="31"/>
      <c r="F336" s="57"/>
      <c r="G336" s="58"/>
    </row>
    <row r="337">
      <c r="C337" s="31"/>
      <c r="E337" s="31"/>
      <c r="F337" s="57"/>
      <c r="G337" s="58"/>
    </row>
    <row r="338">
      <c r="C338" s="31"/>
      <c r="E338" s="31"/>
      <c r="F338" s="57"/>
      <c r="G338" s="58"/>
    </row>
    <row r="339">
      <c r="C339" s="31"/>
      <c r="E339" s="31"/>
      <c r="F339" s="57"/>
      <c r="G339" s="58"/>
    </row>
    <row r="340">
      <c r="C340" s="31"/>
      <c r="E340" s="31"/>
      <c r="F340" s="57"/>
      <c r="G340" s="58"/>
    </row>
    <row r="341">
      <c r="C341" s="31"/>
      <c r="E341" s="31"/>
      <c r="F341" s="57"/>
      <c r="G341" s="58"/>
    </row>
    <row r="342">
      <c r="C342" s="31"/>
      <c r="E342" s="31"/>
      <c r="F342" s="57"/>
      <c r="G342" s="58"/>
    </row>
    <row r="343">
      <c r="C343" s="31"/>
      <c r="E343" s="31"/>
      <c r="F343" s="57"/>
      <c r="G343" s="58"/>
    </row>
    <row r="344">
      <c r="C344" s="31"/>
      <c r="E344" s="31"/>
      <c r="F344" s="57"/>
      <c r="G344" s="58"/>
    </row>
    <row r="345">
      <c r="C345" s="31"/>
      <c r="E345" s="31"/>
      <c r="F345" s="57"/>
      <c r="G345" s="58"/>
    </row>
    <row r="346">
      <c r="C346" s="31"/>
      <c r="E346" s="31"/>
      <c r="F346" s="57"/>
      <c r="G346" s="58"/>
    </row>
    <row r="347">
      <c r="C347" s="31"/>
      <c r="E347" s="31"/>
      <c r="F347" s="57"/>
      <c r="G347" s="58"/>
    </row>
    <row r="348">
      <c r="C348" s="31"/>
      <c r="E348" s="31"/>
      <c r="F348" s="57"/>
      <c r="G348" s="58"/>
    </row>
    <row r="349">
      <c r="C349" s="31"/>
      <c r="E349" s="31"/>
      <c r="F349" s="57"/>
      <c r="G349" s="58"/>
    </row>
    <row r="350">
      <c r="C350" s="31"/>
      <c r="E350" s="31"/>
      <c r="F350" s="57"/>
      <c r="G350" s="58"/>
    </row>
    <row r="351">
      <c r="C351" s="31"/>
      <c r="E351" s="31"/>
      <c r="F351" s="57"/>
      <c r="G351" s="58"/>
    </row>
    <row r="352">
      <c r="C352" s="31"/>
      <c r="E352" s="31"/>
      <c r="F352" s="57"/>
      <c r="G352" s="58"/>
    </row>
    <row r="353">
      <c r="C353" s="31"/>
      <c r="E353" s="31"/>
      <c r="F353" s="57"/>
      <c r="G353" s="58"/>
    </row>
    <row r="354">
      <c r="C354" s="31"/>
      <c r="E354" s="31"/>
      <c r="F354" s="57"/>
      <c r="G354" s="58"/>
    </row>
    <row r="355">
      <c r="C355" s="31"/>
      <c r="E355" s="31"/>
      <c r="F355" s="57"/>
      <c r="G355" s="58"/>
    </row>
    <row r="356">
      <c r="C356" s="31"/>
      <c r="E356" s="31"/>
      <c r="F356" s="57"/>
      <c r="G356" s="58"/>
    </row>
    <row r="357">
      <c r="C357" s="31"/>
      <c r="E357" s="31"/>
      <c r="F357" s="57"/>
      <c r="G357" s="58"/>
    </row>
    <row r="358">
      <c r="C358" s="31"/>
      <c r="E358" s="31"/>
      <c r="F358" s="57"/>
      <c r="G358" s="58"/>
    </row>
    <row r="359">
      <c r="C359" s="31"/>
      <c r="E359" s="31"/>
      <c r="F359" s="57"/>
      <c r="G359" s="58"/>
    </row>
    <row r="360">
      <c r="C360" s="31"/>
      <c r="E360" s="31"/>
      <c r="F360" s="57"/>
      <c r="G360" s="58"/>
    </row>
    <row r="361">
      <c r="C361" s="31"/>
      <c r="E361" s="31"/>
      <c r="F361" s="57"/>
      <c r="G361" s="58"/>
    </row>
    <row r="362">
      <c r="C362" s="31"/>
      <c r="E362" s="31"/>
      <c r="F362" s="57"/>
      <c r="G362" s="58"/>
    </row>
    <row r="363">
      <c r="C363" s="31"/>
      <c r="E363" s="31"/>
      <c r="F363" s="57"/>
      <c r="G363" s="58"/>
    </row>
    <row r="364">
      <c r="C364" s="31"/>
      <c r="E364" s="31"/>
      <c r="F364" s="57"/>
      <c r="G364" s="58"/>
    </row>
    <row r="365">
      <c r="C365" s="31"/>
      <c r="E365" s="31"/>
      <c r="F365" s="57"/>
      <c r="G365" s="58"/>
    </row>
    <row r="366">
      <c r="C366" s="31"/>
      <c r="E366" s="31"/>
      <c r="F366" s="57"/>
      <c r="G366" s="58"/>
    </row>
    <row r="367">
      <c r="C367" s="31"/>
      <c r="E367" s="31"/>
      <c r="F367" s="57"/>
      <c r="G367" s="58"/>
    </row>
    <row r="368">
      <c r="C368" s="31"/>
      <c r="E368" s="31"/>
      <c r="F368" s="57"/>
      <c r="G368" s="58"/>
    </row>
    <row r="369">
      <c r="C369" s="31"/>
      <c r="E369" s="31"/>
      <c r="F369" s="57"/>
      <c r="G369" s="58"/>
    </row>
    <row r="370">
      <c r="C370" s="31"/>
      <c r="E370" s="31"/>
      <c r="F370" s="57"/>
      <c r="G370" s="58"/>
    </row>
    <row r="371">
      <c r="C371" s="31"/>
      <c r="E371" s="31"/>
      <c r="F371" s="57"/>
      <c r="G371" s="58"/>
    </row>
    <row r="372">
      <c r="C372" s="31"/>
      <c r="E372" s="31"/>
      <c r="F372" s="57"/>
      <c r="G372" s="58"/>
    </row>
    <row r="373">
      <c r="C373" s="31"/>
      <c r="E373" s="31"/>
      <c r="F373" s="57"/>
      <c r="G373" s="58"/>
    </row>
    <row r="374">
      <c r="C374" s="31"/>
      <c r="E374" s="31"/>
      <c r="F374" s="57"/>
      <c r="G374" s="58"/>
    </row>
    <row r="375">
      <c r="C375" s="31"/>
      <c r="E375" s="31"/>
      <c r="F375" s="57"/>
      <c r="G375" s="58"/>
    </row>
    <row r="376">
      <c r="C376" s="31"/>
      <c r="E376" s="31"/>
      <c r="F376" s="57"/>
      <c r="G376" s="58"/>
    </row>
    <row r="377">
      <c r="C377" s="31"/>
      <c r="E377" s="31"/>
      <c r="F377" s="57"/>
      <c r="G377" s="58"/>
    </row>
    <row r="378">
      <c r="C378" s="31"/>
      <c r="E378" s="31"/>
      <c r="F378" s="57"/>
      <c r="G378" s="58"/>
    </row>
    <row r="379">
      <c r="C379" s="31"/>
      <c r="E379" s="31"/>
      <c r="F379" s="57"/>
      <c r="G379" s="58"/>
    </row>
    <row r="380">
      <c r="C380" s="31"/>
      <c r="E380" s="31"/>
      <c r="F380" s="57"/>
      <c r="G380" s="58"/>
    </row>
    <row r="381">
      <c r="C381" s="31"/>
      <c r="E381" s="31"/>
      <c r="F381" s="57"/>
      <c r="G381" s="58"/>
    </row>
    <row r="382">
      <c r="C382" s="31"/>
      <c r="E382" s="31"/>
      <c r="F382" s="57"/>
      <c r="G382" s="58"/>
    </row>
    <row r="383">
      <c r="C383" s="31"/>
      <c r="E383" s="31"/>
      <c r="F383" s="57"/>
      <c r="G383" s="58"/>
    </row>
    <row r="384">
      <c r="C384" s="31"/>
      <c r="E384" s="31"/>
      <c r="F384" s="57"/>
      <c r="G384" s="58"/>
    </row>
    <row r="385">
      <c r="C385" s="31"/>
      <c r="E385" s="31"/>
      <c r="F385" s="57"/>
      <c r="G385" s="58"/>
    </row>
    <row r="386">
      <c r="C386" s="31"/>
      <c r="E386" s="31"/>
      <c r="F386" s="57"/>
      <c r="G386" s="58"/>
    </row>
    <row r="387">
      <c r="C387" s="31"/>
      <c r="E387" s="31"/>
      <c r="F387" s="57"/>
      <c r="G387" s="58"/>
    </row>
    <row r="388">
      <c r="C388" s="31"/>
      <c r="E388" s="31"/>
      <c r="F388" s="57"/>
      <c r="G388" s="58"/>
    </row>
    <row r="389">
      <c r="C389" s="31"/>
      <c r="E389" s="31"/>
      <c r="F389" s="57"/>
      <c r="G389" s="58"/>
    </row>
    <row r="390">
      <c r="C390" s="31"/>
      <c r="E390" s="31"/>
      <c r="F390" s="57"/>
      <c r="G390" s="58"/>
    </row>
    <row r="391">
      <c r="C391" s="31"/>
      <c r="E391" s="31"/>
      <c r="F391" s="57"/>
      <c r="G391" s="58"/>
    </row>
    <row r="392">
      <c r="C392" s="31"/>
      <c r="E392" s="31"/>
      <c r="F392" s="57"/>
      <c r="G392" s="58"/>
    </row>
    <row r="393">
      <c r="C393" s="31"/>
      <c r="E393" s="31"/>
      <c r="F393" s="57"/>
      <c r="G393" s="58"/>
    </row>
    <row r="394">
      <c r="C394" s="31"/>
      <c r="E394" s="31"/>
      <c r="F394" s="57"/>
      <c r="G394" s="58"/>
    </row>
    <row r="395">
      <c r="C395" s="31"/>
      <c r="E395" s="31"/>
      <c r="F395" s="57"/>
      <c r="G395" s="58"/>
    </row>
    <row r="396">
      <c r="C396" s="31"/>
      <c r="E396" s="31"/>
      <c r="F396" s="57"/>
      <c r="G396" s="58"/>
    </row>
    <row r="397">
      <c r="C397" s="31"/>
      <c r="E397" s="31"/>
      <c r="F397" s="57"/>
      <c r="G397" s="58"/>
    </row>
    <row r="398">
      <c r="C398" s="31"/>
      <c r="E398" s="31"/>
      <c r="F398" s="57"/>
      <c r="G398" s="58"/>
    </row>
    <row r="399">
      <c r="C399" s="31"/>
      <c r="E399" s="31"/>
      <c r="F399" s="57"/>
      <c r="G399" s="58"/>
    </row>
    <row r="400">
      <c r="C400" s="31"/>
      <c r="E400" s="31"/>
      <c r="F400" s="57"/>
      <c r="G400" s="58"/>
    </row>
    <row r="401">
      <c r="C401" s="31"/>
      <c r="E401" s="31"/>
      <c r="F401" s="57"/>
      <c r="G401" s="58"/>
    </row>
    <row r="402">
      <c r="C402" s="31"/>
      <c r="E402" s="31"/>
      <c r="F402" s="57"/>
      <c r="G402" s="58"/>
    </row>
    <row r="403">
      <c r="C403" s="31"/>
      <c r="E403" s="31"/>
      <c r="F403" s="57"/>
      <c r="G403" s="58"/>
    </row>
    <row r="404">
      <c r="C404" s="31"/>
      <c r="E404" s="31"/>
      <c r="F404" s="57"/>
      <c r="G404" s="58"/>
    </row>
    <row r="405">
      <c r="C405" s="31"/>
      <c r="E405" s="31"/>
      <c r="F405" s="57"/>
      <c r="G405" s="58"/>
    </row>
    <row r="406">
      <c r="C406" s="31"/>
      <c r="E406" s="31"/>
      <c r="F406" s="57"/>
      <c r="G406" s="58"/>
    </row>
    <row r="407">
      <c r="C407" s="31"/>
      <c r="E407" s="31"/>
      <c r="F407" s="57"/>
      <c r="G407" s="58"/>
    </row>
    <row r="408">
      <c r="C408" s="31"/>
      <c r="E408" s="31"/>
      <c r="F408" s="57"/>
      <c r="G408" s="58"/>
    </row>
    <row r="409">
      <c r="C409" s="31"/>
      <c r="E409" s="31"/>
      <c r="F409" s="57"/>
      <c r="G409" s="58"/>
    </row>
    <row r="410">
      <c r="C410" s="31"/>
      <c r="E410" s="31"/>
      <c r="F410" s="57"/>
      <c r="G410" s="58"/>
    </row>
    <row r="411">
      <c r="C411" s="31"/>
      <c r="E411" s="31"/>
      <c r="F411" s="57"/>
      <c r="G411" s="58"/>
    </row>
    <row r="412">
      <c r="C412" s="31"/>
      <c r="E412" s="31"/>
      <c r="F412" s="57"/>
      <c r="G412" s="58"/>
    </row>
    <row r="413">
      <c r="C413" s="31"/>
      <c r="E413" s="31"/>
      <c r="F413" s="57"/>
      <c r="G413" s="58"/>
    </row>
    <row r="414">
      <c r="C414" s="31"/>
      <c r="E414" s="31"/>
      <c r="F414" s="57"/>
      <c r="G414" s="58"/>
    </row>
    <row r="415">
      <c r="C415" s="31"/>
      <c r="E415" s="31"/>
      <c r="F415" s="57"/>
      <c r="G415" s="58"/>
    </row>
    <row r="416">
      <c r="C416" s="31"/>
      <c r="E416" s="31"/>
      <c r="F416" s="57"/>
      <c r="G416" s="58"/>
    </row>
    <row r="417">
      <c r="C417" s="31"/>
      <c r="E417" s="31"/>
      <c r="F417" s="57"/>
      <c r="G417" s="58"/>
    </row>
    <row r="418">
      <c r="C418" s="31"/>
      <c r="E418" s="31"/>
      <c r="F418" s="57"/>
      <c r="G418" s="58"/>
    </row>
    <row r="419">
      <c r="C419" s="31"/>
      <c r="E419" s="31"/>
      <c r="F419" s="57"/>
      <c r="G419" s="58"/>
    </row>
    <row r="420">
      <c r="C420" s="31"/>
      <c r="E420" s="31"/>
      <c r="F420" s="57"/>
      <c r="G420" s="58"/>
    </row>
    <row r="421">
      <c r="C421" s="31"/>
      <c r="E421" s="31"/>
      <c r="F421" s="57"/>
      <c r="G421" s="58"/>
    </row>
    <row r="422">
      <c r="C422" s="31"/>
      <c r="E422" s="31"/>
      <c r="F422" s="57"/>
      <c r="G422" s="58"/>
    </row>
    <row r="423">
      <c r="C423" s="31"/>
      <c r="E423" s="31"/>
      <c r="F423" s="57"/>
      <c r="G423" s="58"/>
    </row>
    <row r="424">
      <c r="C424" s="31"/>
      <c r="E424" s="31"/>
      <c r="F424" s="57"/>
      <c r="G424" s="58"/>
    </row>
    <row r="425">
      <c r="C425" s="31"/>
      <c r="E425" s="31"/>
      <c r="F425" s="57"/>
      <c r="G425" s="58"/>
    </row>
    <row r="426">
      <c r="C426" s="31"/>
      <c r="E426" s="31"/>
      <c r="F426" s="57"/>
      <c r="G426" s="58"/>
    </row>
    <row r="427">
      <c r="C427" s="31"/>
      <c r="E427" s="31"/>
      <c r="F427" s="57"/>
      <c r="G427" s="58"/>
    </row>
    <row r="428">
      <c r="C428" s="31"/>
      <c r="E428" s="31"/>
      <c r="F428" s="57"/>
      <c r="G428" s="58"/>
    </row>
    <row r="429">
      <c r="C429" s="31"/>
      <c r="E429" s="31"/>
      <c r="F429" s="57"/>
      <c r="G429" s="58"/>
    </row>
    <row r="430">
      <c r="C430" s="31"/>
      <c r="E430" s="31"/>
      <c r="F430" s="57"/>
      <c r="G430" s="58"/>
    </row>
    <row r="431">
      <c r="C431" s="31"/>
      <c r="E431" s="31"/>
      <c r="F431" s="57"/>
      <c r="G431" s="58"/>
    </row>
    <row r="432">
      <c r="C432" s="31"/>
      <c r="E432" s="31"/>
      <c r="F432" s="57"/>
      <c r="G432" s="58"/>
    </row>
    <row r="433">
      <c r="C433" s="31"/>
      <c r="E433" s="31"/>
      <c r="F433" s="57"/>
      <c r="G433" s="58"/>
    </row>
    <row r="434">
      <c r="C434" s="31"/>
      <c r="E434" s="31"/>
      <c r="F434" s="57"/>
      <c r="G434" s="58"/>
    </row>
    <row r="435">
      <c r="C435" s="31"/>
      <c r="E435" s="31"/>
      <c r="F435" s="57"/>
      <c r="G435" s="58"/>
    </row>
    <row r="436">
      <c r="C436" s="31"/>
      <c r="E436" s="31"/>
      <c r="F436" s="57"/>
      <c r="G436" s="58"/>
    </row>
    <row r="437">
      <c r="C437" s="31"/>
      <c r="E437" s="31"/>
      <c r="F437" s="57"/>
      <c r="G437" s="58"/>
    </row>
    <row r="438">
      <c r="C438" s="31"/>
      <c r="E438" s="31"/>
      <c r="F438" s="57"/>
      <c r="G438" s="58"/>
    </row>
    <row r="439">
      <c r="C439" s="31"/>
      <c r="E439" s="31"/>
      <c r="F439" s="57"/>
      <c r="G439" s="58"/>
    </row>
    <row r="440">
      <c r="C440" s="31"/>
      <c r="E440" s="31"/>
      <c r="F440" s="57"/>
      <c r="G440" s="58"/>
    </row>
    <row r="441">
      <c r="C441" s="31"/>
      <c r="E441" s="31"/>
      <c r="F441" s="57"/>
      <c r="G441" s="58"/>
    </row>
    <row r="442">
      <c r="C442" s="31"/>
      <c r="E442" s="31"/>
      <c r="F442" s="57"/>
      <c r="G442" s="58"/>
    </row>
    <row r="443">
      <c r="C443" s="31"/>
      <c r="E443" s="31"/>
      <c r="F443" s="57"/>
      <c r="G443" s="58"/>
    </row>
    <row r="444">
      <c r="C444" s="31"/>
      <c r="E444" s="31"/>
      <c r="F444" s="57"/>
      <c r="G444" s="58"/>
    </row>
    <row r="445">
      <c r="C445" s="31"/>
      <c r="E445" s="31"/>
      <c r="F445" s="57"/>
      <c r="G445" s="58"/>
    </row>
    <row r="446">
      <c r="C446" s="31"/>
      <c r="E446" s="31"/>
      <c r="F446" s="57"/>
      <c r="G446" s="58"/>
    </row>
    <row r="447">
      <c r="C447" s="31"/>
      <c r="E447" s="31"/>
      <c r="F447" s="57"/>
      <c r="G447" s="58"/>
    </row>
    <row r="448">
      <c r="C448" s="31"/>
      <c r="E448" s="31"/>
      <c r="F448" s="57"/>
      <c r="G448" s="58"/>
    </row>
    <row r="449">
      <c r="C449" s="31"/>
      <c r="E449" s="31"/>
      <c r="F449" s="57"/>
      <c r="G449" s="58"/>
    </row>
    <row r="450">
      <c r="C450" s="31"/>
      <c r="E450" s="31"/>
      <c r="F450" s="57"/>
      <c r="G450" s="58"/>
    </row>
    <row r="451">
      <c r="C451" s="31"/>
      <c r="E451" s="31"/>
      <c r="F451" s="57"/>
      <c r="G451" s="58"/>
    </row>
    <row r="452">
      <c r="C452" s="31"/>
      <c r="E452" s="31"/>
      <c r="F452" s="57"/>
      <c r="G452" s="58"/>
    </row>
    <row r="453">
      <c r="C453" s="31"/>
      <c r="E453" s="31"/>
      <c r="F453" s="57"/>
      <c r="G453" s="58"/>
    </row>
    <row r="454">
      <c r="C454" s="31"/>
      <c r="E454" s="31"/>
      <c r="F454" s="57"/>
      <c r="G454" s="58"/>
    </row>
    <row r="455">
      <c r="C455" s="31"/>
      <c r="E455" s="31"/>
      <c r="F455" s="57"/>
      <c r="G455" s="58"/>
    </row>
    <row r="456">
      <c r="C456" s="31"/>
      <c r="E456" s="31"/>
      <c r="F456" s="57"/>
      <c r="G456" s="58"/>
    </row>
    <row r="457">
      <c r="C457" s="31"/>
      <c r="E457" s="31"/>
      <c r="F457" s="57"/>
      <c r="G457" s="58"/>
    </row>
    <row r="458">
      <c r="C458" s="31"/>
      <c r="E458" s="31"/>
      <c r="F458" s="57"/>
      <c r="G458" s="58"/>
    </row>
    <row r="459">
      <c r="C459" s="31"/>
      <c r="E459" s="31"/>
      <c r="F459" s="57"/>
      <c r="G459" s="58"/>
    </row>
    <row r="460">
      <c r="C460" s="31"/>
      <c r="E460" s="31"/>
      <c r="F460" s="57"/>
      <c r="G460" s="58"/>
    </row>
    <row r="461">
      <c r="C461" s="31"/>
      <c r="E461" s="31"/>
      <c r="F461" s="57"/>
      <c r="G461" s="58"/>
    </row>
    <row r="462">
      <c r="C462" s="31"/>
      <c r="E462" s="31"/>
      <c r="F462" s="57"/>
      <c r="G462" s="58"/>
    </row>
    <row r="463">
      <c r="C463" s="31"/>
      <c r="E463" s="31"/>
      <c r="F463" s="57"/>
      <c r="G463" s="58"/>
    </row>
    <row r="464">
      <c r="C464" s="31"/>
      <c r="E464" s="31"/>
      <c r="F464" s="57"/>
      <c r="G464" s="58"/>
    </row>
    <row r="465">
      <c r="C465" s="31"/>
      <c r="E465" s="31"/>
      <c r="F465" s="57"/>
      <c r="G465" s="58"/>
    </row>
    <row r="466">
      <c r="C466" s="31"/>
      <c r="E466" s="31"/>
      <c r="F466" s="57"/>
      <c r="G466" s="58"/>
    </row>
    <row r="467">
      <c r="C467" s="31"/>
      <c r="E467" s="31"/>
      <c r="F467" s="57"/>
      <c r="G467" s="58"/>
    </row>
    <row r="468">
      <c r="C468" s="31"/>
      <c r="E468" s="31"/>
      <c r="F468" s="57"/>
      <c r="G468" s="58"/>
    </row>
    <row r="469">
      <c r="C469" s="31"/>
      <c r="E469" s="31"/>
      <c r="F469" s="57"/>
      <c r="G469" s="58"/>
    </row>
    <row r="470">
      <c r="C470" s="31"/>
      <c r="E470" s="31"/>
      <c r="F470" s="57"/>
      <c r="G470" s="58"/>
    </row>
    <row r="471">
      <c r="C471" s="31"/>
      <c r="E471" s="31"/>
      <c r="F471" s="57"/>
      <c r="G471" s="58"/>
    </row>
    <row r="472">
      <c r="C472" s="31"/>
      <c r="E472" s="31"/>
      <c r="F472" s="57"/>
      <c r="G472" s="58"/>
    </row>
    <row r="473">
      <c r="C473" s="31"/>
      <c r="E473" s="31"/>
      <c r="F473" s="57"/>
      <c r="G473" s="58"/>
    </row>
    <row r="474">
      <c r="C474" s="31"/>
      <c r="E474" s="31"/>
      <c r="F474" s="57"/>
      <c r="G474" s="58"/>
    </row>
    <row r="475">
      <c r="C475" s="31"/>
      <c r="E475" s="31"/>
      <c r="F475" s="57"/>
      <c r="G475" s="58"/>
    </row>
    <row r="476">
      <c r="C476" s="31"/>
      <c r="E476" s="31"/>
      <c r="F476" s="57"/>
      <c r="G476" s="58"/>
    </row>
    <row r="477">
      <c r="C477" s="31"/>
      <c r="E477" s="31"/>
      <c r="F477" s="57"/>
      <c r="G477" s="58"/>
    </row>
    <row r="478">
      <c r="C478" s="31"/>
      <c r="E478" s="31"/>
      <c r="F478" s="57"/>
      <c r="G478" s="58"/>
    </row>
    <row r="479">
      <c r="C479" s="31"/>
      <c r="E479" s="31"/>
      <c r="F479" s="57"/>
      <c r="G479" s="58"/>
    </row>
    <row r="480">
      <c r="C480" s="31"/>
      <c r="E480" s="31"/>
      <c r="F480" s="57"/>
      <c r="G480" s="58"/>
    </row>
    <row r="481">
      <c r="C481" s="31"/>
      <c r="E481" s="31"/>
      <c r="F481" s="57"/>
      <c r="G481" s="58"/>
    </row>
    <row r="482">
      <c r="C482" s="31"/>
      <c r="E482" s="31"/>
      <c r="F482" s="57"/>
      <c r="G482" s="58"/>
    </row>
    <row r="483">
      <c r="C483" s="31"/>
      <c r="E483" s="31"/>
      <c r="F483" s="57"/>
      <c r="G483" s="58"/>
    </row>
    <row r="484">
      <c r="C484" s="31"/>
      <c r="E484" s="31"/>
      <c r="F484" s="57"/>
      <c r="G484" s="58"/>
    </row>
    <row r="485">
      <c r="C485" s="31"/>
      <c r="E485" s="31"/>
      <c r="F485" s="57"/>
      <c r="G485" s="58"/>
    </row>
    <row r="486">
      <c r="C486" s="31"/>
      <c r="E486" s="31"/>
      <c r="F486" s="57"/>
      <c r="G486" s="58"/>
    </row>
    <row r="487">
      <c r="C487" s="31"/>
      <c r="E487" s="31"/>
      <c r="F487" s="57"/>
      <c r="G487" s="58"/>
    </row>
    <row r="488">
      <c r="C488" s="31"/>
      <c r="E488" s="31"/>
      <c r="F488" s="57"/>
      <c r="G488" s="58"/>
    </row>
    <row r="489">
      <c r="C489" s="31"/>
      <c r="E489" s="31"/>
      <c r="F489" s="57"/>
      <c r="G489" s="58"/>
    </row>
    <row r="490">
      <c r="C490" s="31"/>
      <c r="E490" s="31"/>
      <c r="F490" s="57"/>
      <c r="G490" s="58"/>
    </row>
    <row r="491">
      <c r="C491" s="31"/>
      <c r="E491" s="31"/>
      <c r="F491" s="57"/>
      <c r="G491" s="58"/>
    </row>
    <row r="492">
      <c r="C492" s="31"/>
      <c r="E492" s="31"/>
      <c r="F492" s="57"/>
      <c r="G492" s="58"/>
    </row>
    <row r="493">
      <c r="C493" s="31"/>
      <c r="E493" s="31"/>
      <c r="F493" s="57"/>
      <c r="G493" s="58"/>
    </row>
    <row r="494">
      <c r="C494" s="31"/>
      <c r="E494" s="31"/>
      <c r="F494" s="57"/>
      <c r="G494" s="58"/>
    </row>
    <row r="495">
      <c r="C495" s="31"/>
      <c r="E495" s="31"/>
      <c r="F495" s="57"/>
      <c r="G495" s="58"/>
    </row>
    <row r="496">
      <c r="C496" s="31"/>
      <c r="E496" s="31"/>
      <c r="F496" s="57"/>
      <c r="G496" s="58"/>
    </row>
    <row r="497">
      <c r="C497" s="31"/>
      <c r="E497" s="31"/>
      <c r="F497" s="57"/>
      <c r="G497" s="58"/>
    </row>
    <row r="498">
      <c r="C498" s="31"/>
      <c r="E498" s="31"/>
      <c r="F498" s="57"/>
      <c r="G498" s="58"/>
    </row>
    <row r="499">
      <c r="C499" s="31"/>
      <c r="E499" s="31"/>
      <c r="F499" s="57"/>
      <c r="G499" s="58"/>
    </row>
    <row r="500">
      <c r="C500" s="31"/>
      <c r="E500" s="31"/>
      <c r="F500" s="57"/>
      <c r="G500" s="58"/>
    </row>
    <row r="501">
      <c r="C501" s="31"/>
      <c r="E501" s="31"/>
      <c r="F501" s="57"/>
      <c r="G501" s="58"/>
    </row>
    <row r="502">
      <c r="C502" s="31"/>
      <c r="E502" s="31"/>
      <c r="F502" s="57"/>
      <c r="G502" s="58"/>
    </row>
    <row r="503">
      <c r="C503" s="31"/>
      <c r="E503" s="31"/>
      <c r="F503" s="57"/>
      <c r="G503" s="58"/>
    </row>
    <row r="504">
      <c r="C504" s="31"/>
      <c r="E504" s="31"/>
      <c r="F504" s="57"/>
      <c r="G504" s="58"/>
    </row>
    <row r="505">
      <c r="C505" s="31"/>
      <c r="E505" s="31"/>
      <c r="F505" s="57"/>
      <c r="G505" s="58"/>
    </row>
    <row r="506">
      <c r="C506" s="31"/>
      <c r="E506" s="31"/>
      <c r="F506" s="57"/>
      <c r="G506" s="58"/>
    </row>
    <row r="507">
      <c r="C507" s="31"/>
      <c r="E507" s="31"/>
      <c r="F507" s="57"/>
      <c r="G507" s="58"/>
    </row>
    <row r="508">
      <c r="C508" s="31"/>
      <c r="E508" s="31"/>
      <c r="F508" s="57"/>
      <c r="G508" s="58"/>
    </row>
    <row r="509">
      <c r="C509" s="31"/>
      <c r="E509" s="31"/>
      <c r="F509" s="57"/>
      <c r="G509" s="58"/>
    </row>
    <row r="510">
      <c r="C510" s="31"/>
      <c r="E510" s="31"/>
      <c r="F510" s="57"/>
      <c r="G510" s="58"/>
    </row>
    <row r="511">
      <c r="C511" s="31"/>
      <c r="E511" s="31"/>
      <c r="F511" s="57"/>
      <c r="G511" s="58"/>
    </row>
    <row r="512">
      <c r="C512" s="31"/>
      <c r="E512" s="31"/>
      <c r="F512" s="57"/>
      <c r="G512" s="58"/>
    </row>
    <row r="513">
      <c r="C513" s="31"/>
      <c r="E513" s="31"/>
      <c r="F513" s="57"/>
      <c r="G513" s="58"/>
    </row>
    <row r="514">
      <c r="C514" s="31"/>
      <c r="E514" s="31"/>
      <c r="F514" s="57"/>
      <c r="G514" s="58"/>
    </row>
    <row r="515">
      <c r="C515" s="31"/>
      <c r="E515" s="31"/>
      <c r="F515" s="57"/>
      <c r="G515" s="58"/>
    </row>
    <row r="516">
      <c r="C516" s="31"/>
      <c r="E516" s="31"/>
      <c r="F516" s="57"/>
      <c r="G516" s="58"/>
    </row>
    <row r="517">
      <c r="C517" s="31"/>
      <c r="E517" s="31"/>
      <c r="F517" s="57"/>
      <c r="G517" s="58"/>
    </row>
    <row r="518">
      <c r="C518" s="31"/>
      <c r="E518" s="31"/>
      <c r="F518" s="57"/>
      <c r="G518" s="58"/>
    </row>
    <row r="519">
      <c r="C519" s="31"/>
      <c r="E519" s="31"/>
      <c r="F519" s="57"/>
      <c r="G519" s="58"/>
    </row>
    <row r="520">
      <c r="C520" s="31"/>
      <c r="E520" s="31"/>
      <c r="F520" s="57"/>
      <c r="G520" s="58"/>
    </row>
    <row r="521">
      <c r="C521" s="31"/>
      <c r="E521" s="31"/>
      <c r="F521" s="57"/>
      <c r="G521" s="58"/>
    </row>
    <row r="522">
      <c r="C522" s="31"/>
      <c r="E522" s="31"/>
      <c r="F522" s="57"/>
      <c r="G522" s="58"/>
    </row>
    <row r="523">
      <c r="C523" s="31"/>
      <c r="E523" s="31"/>
      <c r="F523" s="57"/>
      <c r="G523" s="58"/>
    </row>
    <row r="524">
      <c r="C524" s="31"/>
      <c r="E524" s="31"/>
      <c r="F524" s="57"/>
      <c r="G524" s="58"/>
    </row>
    <row r="525">
      <c r="C525" s="31"/>
      <c r="E525" s="31"/>
      <c r="F525" s="57"/>
      <c r="G525" s="58"/>
    </row>
    <row r="526">
      <c r="C526" s="31"/>
      <c r="E526" s="31"/>
      <c r="F526" s="57"/>
      <c r="G526" s="58"/>
    </row>
    <row r="527">
      <c r="C527" s="31"/>
      <c r="E527" s="31"/>
      <c r="F527" s="57"/>
      <c r="G527" s="58"/>
    </row>
    <row r="528">
      <c r="C528" s="31"/>
      <c r="E528" s="31"/>
      <c r="F528" s="57"/>
      <c r="G528" s="58"/>
    </row>
    <row r="529">
      <c r="C529" s="31"/>
      <c r="E529" s="31"/>
      <c r="F529" s="57"/>
      <c r="G529" s="58"/>
    </row>
    <row r="530">
      <c r="C530" s="31"/>
      <c r="E530" s="31"/>
      <c r="F530" s="57"/>
      <c r="G530" s="58"/>
    </row>
    <row r="531">
      <c r="C531" s="31"/>
      <c r="E531" s="31"/>
      <c r="F531" s="57"/>
      <c r="G531" s="58"/>
    </row>
    <row r="532">
      <c r="C532" s="31"/>
      <c r="E532" s="31"/>
      <c r="F532" s="57"/>
      <c r="G532" s="58"/>
    </row>
    <row r="533">
      <c r="C533" s="31"/>
      <c r="E533" s="31"/>
      <c r="F533" s="57"/>
      <c r="G533" s="58"/>
    </row>
    <row r="534">
      <c r="C534" s="31"/>
      <c r="E534" s="31"/>
      <c r="F534" s="57"/>
      <c r="G534" s="58"/>
    </row>
    <row r="535">
      <c r="C535" s="31"/>
      <c r="E535" s="31"/>
      <c r="F535" s="57"/>
      <c r="G535" s="58"/>
    </row>
    <row r="536">
      <c r="C536" s="31"/>
      <c r="E536" s="31"/>
      <c r="F536" s="57"/>
      <c r="G536" s="58"/>
    </row>
    <row r="537">
      <c r="C537" s="31"/>
      <c r="E537" s="31"/>
      <c r="F537" s="57"/>
      <c r="G537" s="58"/>
    </row>
    <row r="538">
      <c r="C538" s="31"/>
      <c r="E538" s="31"/>
      <c r="F538" s="57"/>
      <c r="G538" s="58"/>
    </row>
    <row r="539">
      <c r="C539" s="31"/>
      <c r="E539" s="31"/>
      <c r="F539" s="57"/>
      <c r="G539" s="58"/>
    </row>
    <row r="540">
      <c r="C540" s="31"/>
      <c r="E540" s="31"/>
      <c r="F540" s="57"/>
      <c r="G540" s="58"/>
    </row>
    <row r="541">
      <c r="C541" s="31"/>
      <c r="E541" s="31"/>
      <c r="F541" s="57"/>
      <c r="G541" s="58"/>
    </row>
    <row r="542">
      <c r="C542" s="31"/>
      <c r="E542" s="31"/>
      <c r="F542" s="57"/>
      <c r="G542" s="58"/>
    </row>
    <row r="543">
      <c r="C543" s="31"/>
      <c r="E543" s="31"/>
      <c r="F543" s="57"/>
      <c r="G543" s="58"/>
    </row>
    <row r="544">
      <c r="C544" s="31"/>
      <c r="E544" s="31"/>
      <c r="F544" s="57"/>
      <c r="G544" s="58"/>
    </row>
    <row r="545">
      <c r="C545" s="31"/>
      <c r="E545" s="31"/>
      <c r="F545" s="57"/>
      <c r="G545" s="58"/>
    </row>
    <row r="546">
      <c r="C546" s="31"/>
      <c r="E546" s="31"/>
      <c r="F546" s="57"/>
      <c r="G546" s="58"/>
    </row>
    <row r="547">
      <c r="C547" s="31"/>
      <c r="E547" s="31"/>
      <c r="F547" s="57"/>
      <c r="G547" s="58"/>
    </row>
    <row r="548">
      <c r="C548" s="31"/>
      <c r="E548" s="31"/>
      <c r="F548" s="57"/>
      <c r="G548" s="58"/>
    </row>
    <row r="549">
      <c r="C549" s="31"/>
      <c r="E549" s="31"/>
      <c r="F549" s="57"/>
      <c r="G549" s="58"/>
    </row>
    <row r="550">
      <c r="C550" s="31"/>
      <c r="E550" s="31"/>
      <c r="F550" s="57"/>
      <c r="G550" s="58"/>
    </row>
    <row r="551">
      <c r="C551" s="31"/>
      <c r="E551" s="31"/>
      <c r="F551" s="57"/>
      <c r="G551" s="58"/>
    </row>
    <row r="552">
      <c r="C552" s="31"/>
      <c r="E552" s="31"/>
      <c r="F552" s="57"/>
      <c r="G552" s="58"/>
    </row>
    <row r="553">
      <c r="C553" s="31"/>
      <c r="E553" s="31"/>
      <c r="F553" s="57"/>
      <c r="G553" s="58"/>
    </row>
    <row r="554">
      <c r="C554" s="31"/>
      <c r="E554" s="31"/>
      <c r="F554" s="57"/>
      <c r="G554" s="58"/>
    </row>
    <row r="555">
      <c r="C555" s="31"/>
      <c r="E555" s="31"/>
      <c r="F555" s="57"/>
      <c r="G555" s="58"/>
    </row>
    <row r="556">
      <c r="C556" s="31"/>
      <c r="E556" s="31"/>
      <c r="F556" s="57"/>
      <c r="G556" s="58"/>
    </row>
    <row r="557">
      <c r="C557" s="31"/>
      <c r="E557" s="31"/>
      <c r="F557" s="57"/>
      <c r="G557" s="58"/>
    </row>
    <row r="558">
      <c r="C558" s="31"/>
      <c r="E558" s="31"/>
      <c r="F558" s="57"/>
      <c r="G558" s="58"/>
    </row>
    <row r="559">
      <c r="C559" s="31"/>
      <c r="E559" s="31"/>
      <c r="F559" s="57"/>
      <c r="G559" s="58"/>
    </row>
    <row r="560">
      <c r="C560" s="31"/>
      <c r="E560" s="31"/>
      <c r="F560" s="57"/>
      <c r="G560" s="58"/>
    </row>
    <row r="561">
      <c r="C561" s="31"/>
      <c r="E561" s="31"/>
      <c r="F561" s="57"/>
      <c r="G561" s="58"/>
    </row>
    <row r="562">
      <c r="C562" s="31"/>
      <c r="E562" s="31"/>
      <c r="F562" s="57"/>
      <c r="G562" s="58"/>
    </row>
    <row r="563">
      <c r="C563" s="31"/>
      <c r="E563" s="31"/>
      <c r="F563" s="57"/>
      <c r="G563" s="58"/>
    </row>
    <row r="564">
      <c r="C564" s="31"/>
      <c r="E564" s="31"/>
      <c r="F564" s="57"/>
      <c r="G564" s="58"/>
    </row>
    <row r="565">
      <c r="C565" s="31"/>
      <c r="E565" s="31"/>
      <c r="F565" s="57"/>
      <c r="G565" s="58"/>
    </row>
    <row r="566">
      <c r="C566" s="31"/>
      <c r="E566" s="31"/>
      <c r="F566" s="57"/>
      <c r="G566" s="58"/>
    </row>
    <row r="567">
      <c r="C567" s="31"/>
      <c r="E567" s="31"/>
      <c r="F567" s="57"/>
      <c r="G567" s="58"/>
    </row>
    <row r="568">
      <c r="C568" s="31"/>
      <c r="E568" s="31"/>
      <c r="F568" s="57"/>
      <c r="G568" s="58"/>
    </row>
    <row r="569">
      <c r="C569" s="31"/>
      <c r="E569" s="31"/>
      <c r="F569" s="57"/>
      <c r="G569" s="58"/>
    </row>
    <row r="570">
      <c r="C570" s="31"/>
      <c r="E570" s="31"/>
      <c r="F570" s="57"/>
      <c r="G570" s="58"/>
    </row>
    <row r="571">
      <c r="C571" s="31"/>
      <c r="E571" s="31"/>
      <c r="F571" s="57"/>
      <c r="G571" s="58"/>
    </row>
    <row r="572">
      <c r="C572" s="31"/>
      <c r="E572" s="31"/>
      <c r="F572" s="57"/>
      <c r="G572" s="58"/>
    </row>
    <row r="573">
      <c r="C573" s="31"/>
      <c r="E573" s="31"/>
      <c r="F573" s="57"/>
      <c r="G573" s="58"/>
    </row>
    <row r="574">
      <c r="C574" s="31"/>
      <c r="E574" s="31"/>
      <c r="F574" s="57"/>
      <c r="G574" s="58"/>
    </row>
    <row r="575">
      <c r="C575" s="31"/>
      <c r="E575" s="31"/>
      <c r="F575" s="57"/>
      <c r="G575" s="58"/>
    </row>
    <row r="576">
      <c r="C576" s="31"/>
      <c r="E576" s="31"/>
      <c r="F576" s="57"/>
      <c r="G576" s="58"/>
    </row>
    <row r="577">
      <c r="C577" s="31"/>
      <c r="E577" s="31"/>
      <c r="F577" s="57"/>
      <c r="G577" s="58"/>
    </row>
    <row r="578">
      <c r="C578" s="31"/>
      <c r="E578" s="31"/>
      <c r="F578" s="57"/>
      <c r="G578" s="58"/>
    </row>
    <row r="579">
      <c r="C579" s="31"/>
      <c r="E579" s="31"/>
      <c r="F579" s="57"/>
      <c r="G579" s="58"/>
    </row>
    <row r="580">
      <c r="C580" s="31"/>
      <c r="E580" s="31"/>
      <c r="F580" s="57"/>
      <c r="G580" s="58"/>
    </row>
    <row r="581">
      <c r="C581" s="31"/>
      <c r="E581" s="31"/>
      <c r="F581" s="57"/>
      <c r="G581" s="58"/>
    </row>
    <row r="582">
      <c r="C582" s="31"/>
      <c r="E582" s="31"/>
      <c r="F582" s="57"/>
      <c r="G582" s="58"/>
    </row>
    <row r="583">
      <c r="C583" s="31"/>
      <c r="E583" s="31"/>
      <c r="F583" s="57"/>
      <c r="G583" s="58"/>
    </row>
    <row r="584">
      <c r="C584" s="31"/>
      <c r="E584" s="31"/>
      <c r="F584" s="57"/>
      <c r="G584" s="58"/>
    </row>
    <row r="585">
      <c r="C585" s="31"/>
      <c r="E585" s="31"/>
      <c r="F585" s="57"/>
      <c r="G585" s="58"/>
    </row>
    <row r="586">
      <c r="C586" s="31"/>
      <c r="E586" s="31"/>
      <c r="F586" s="57"/>
      <c r="G586" s="58"/>
    </row>
    <row r="587">
      <c r="C587" s="31"/>
      <c r="E587" s="31"/>
      <c r="F587" s="57"/>
      <c r="G587" s="58"/>
    </row>
    <row r="588">
      <c r="C588" s="31"/>
      <c r="E588" s="31"/>
      <c r="F588" s="57"/>
      <c r="G588" s="58"/>
    </row>
    <row r="589">
      <c r="C589" s="31"/>
      <c r="E589" s="31"/>
      <c r="F589" s="57"/>
      <c r="G589" s="58"/>
    </row>
    <row r="590">
      <c r="C590" s="31"/>
      <c r="E590" s="31"/>
      <c r="F590" s="57"/>
      <c r="G590" s="58"/>
    </row>
    <row r="591">
      <c r="C591" s="31"/>
      <c r="E591" s="31"/>
      <c r="F591" s="57"/>
      <c r="G591" s="58"/>
    </row>
    <row r="592">
      <c r="C592" s="31"/>
      <c r="E592" s="31"/>
      <c r="F592" s="57"/>
      <c r="G592" s="58"/>
    </row>
    <row r="593">
      <c r="C593" s="31"/>
      <c r="E593" s="31"/>
      <c r="F593" s="57"/>
      <c r="G593" s="58"/>
    </row>
    <row r="594">
      <c r="C594" s="31"/>
      <c r="E594" s="31"/>
      <c r="F594" s="57"/>
      <c r="G594" s="58"/>
    </row>
    <row r="595">
      <c r="C595" s="31"/>
      <c r="E595" s="31"/>
      <c r="F595" s="57"/>
      <c r="G595" s="58"/>
    </row>
    <row r="596">
      <c r="C596" s="31"/>
      <c r="E596" s="31"/>
      <c r="F596" s="57"/>
      <c r="G596" s="58"/>
    </row>
    <row r="597">
      <c r="C597" s="31"/>
      <c r="E597" s="31"/>
      <c r="F597" s="57"/>
      <c r="G597" s="58"/>
    </row>
    <row r="598">
      <c r="C598" s="31"/>
      <c r="E598" s="31"/>
      <c r="F598" s="57"/>
      <c r="G598" s="58"/>
    </row>
    <row r="599">
      <c r="C599" s="31"/>
      <c r="E599" s="31"/>
      <c r="F599" s="57"/>
      <c r="G599" s="58"/>
    </row>
    <row r="600">
      <c r="C600" s="31"/>
      <c r="E600" s="31"/>
      <c r="F600" s="57"/>
      <c r="G600" s="58"/>
    </row>
    <row r="601">
      <c r="C601" s="31"/>
      <c r="E601" s="31"/>
      <c r="F601" s="57"/>
      <c r="G601" s="58"/>
    </row>
    <row r="602">
      <c r="C602" s="31"/>
      <c r="E602" s="31"/>
      <c r="F602" s="57"/>
      <c r="G602" s="58"/>
    </row>
    <row r="603">
      <c r="C603" s="31"/>
      <c r="E603" s="31"/>
      <c r="F603" s="57"/>
      <c r="G603" s="58"/>
    </row>
    <row r="604">
      <c r="C604" s="31"/>
      <c r="E604" s="31"/>
      <c r="F604" s="57"/>
      <c r="G604" s="58"/>
    </row>
    <row r="605">
      <c r="C605" s="31"/>
      <c r="E605" s="31"/>
      <c r="F605" s="57"/>
      <c r="G605" s="58"/>
    </row>
    <row r="606">
      <c r="C606" s="31"/>
      <c r="E606" s="31"/>
      <c r="F606" s="57"/>
      <c r="G606" s="58"/>
    </row>
    <row r="607">
      <c r="C607" s="31"/>
      <c r="E607" s="31"/>
      <c r="F607" s="57"/>
      <c r="G607" s="58"/>
    </row>
    <row r="608">
      <c r="C608" s="31"/>
      <c r="E608" s="31"/>
      <c r="F608" s="57"/>
      <c r="G608" s="58"/>
    </row>
    <row r="609">
      <c r="C609" s="31"/>
      <c r="E609" s="31"/>
      <c r="F609" s="57"/>
      <c r="G609" s="58"/>
    </row>
    <row r="610">
      <c r="C610" s="31"/>
      <c r="E610" s="31"/>
      <c r="F610" s="57"/>
      <c r="G610" s="58"/>
    </row>
    <row r="611">
      <c r="C611" s="31"/>
      <c r="E611" s="31"/>
      <c r="F611" s="57"/>
      <c r="G611" s="58"/>
    </row>
    <row r="612">
      <c r="C612" s="31"/>
      <c r="E612" s="31"/>
      <c r="F612" s="57"/>
      <c r="G612" s="58"/>
    </row>
    <row r="613">
      <c r="C613" s="31"/>
      <c r="E613" s="31"/>
      <c r="F613" s="57"/>
      <c r="G613" s="58"/>
    </row>
    <row r="614">
      <c r="C614" s="31"/>
      <c r="E614" s="31"/>
      <c r="F614" s="57"/>
      <c r="G614" s="58"/>
    </row>
    <row r="615">
      <c r="C615" s="31"/>
      <c r="E615" s="31"/>
      <c r="F615" s="57"/>
      <c r="G615" s="58"/>
    </row>
    <row r="616">
      <c r="C616" s="31"/>
      <c r="E616" s="31"/>
      <c r="F616" s="57"/>
      <c r="G616" s="58"/>
    </row>
    <row r="617">
      <c r="C617" s="31"/>
      <c r="E617" s="31"/>
      <c r="F617" s="57"/>
      <c r="G617" s="58"/>
    </row>
    <row r="618">
      <c r="C618" s="31"/>
      <c r="E618" s="31"/>
      <c r="F618" s="57"/>
      <c r="G618" s="58"/>
    </row>
    <row r="619">
      <c r="C619" s="31"/>
      <c r="E619" s="31"/>
      <c r="F619" s="57"/>
      <c r="G619" s="58"/>
    </row>
    <row r="620">
      <c r="C620" s="31"/>
      <c r="E620" s="31"/>
      <c r="F620" s="57"/>
      <c r="G620" s="58"/>
    </row>
    <row r="621">
      <c r="C621" s="31"/>
      <c r="E621" s="31"/>
      <c r="F621" s="57"/>
      <c r="G621" s="58"/>
    </row>
    <row r="622">
      <c r="C622" s="31"/>
      <c r="E622" s="31"/>
      <c r="F622" s="57"/>
      <c r="G622" s="58"/>
    </row>
    <row r="623">
      <c r="C623" s="31"/>
      <c r="E623" s="31"/>
      <c r="F623" s="57"/>
      <c r="G623" s="58"/>
    </row>
    <row r="624">
      <c r="C624" s="31"/>
      <c r="E624" s="31"/>
      <c r="F624" s="57"/>
      <c r="G624" s="58"/>
    </row>
    <row r="625">
      <c r="C625" s="31"/>
      <c r="E625" s="31"/>
      <c r="F625" s="57"/>
      <c r="G625" s="58"/>
    </row>
    <row r="626">
      <c r="C626" s="31"/>
      <c r="E626" s="31"/>
      <c r="F626" s="57"/>
      <c r="G626" s="58"/>
    </row>
    <row r="627">
      <c r="C627" s="31"/>
      <c r="E627" s="31"/>
      <c r="F627" s="57"/>
      <c r="G627" s="58"/>
    </row>
    <row r="628">
      <c r="C628" s="31"/>
      <c r="E628" s="31"/>
      <c r="F628" s="57"/>
      <c r="G628" s="58"/>
    </row>
    <row r="629">
      <c r="C629" s="31"/>
      <c r="E629" s="31"/>
      <c r="F629" s="57"/>
      <c r="G629" s="58"/>
    </row>
    <row r="630">
      <c r="C630" s="31"/>
      <c r="E630" s="31"/>
      <c r="F630" s="57"/>
      <c r="G630" s="58"/>
    </row>
    <row r="631">
      <c r="C631" s="31"/>
      <c r="E631" s="31"/>
      <c r="F631" s="57"/>
      <c r="G631" s="58"/>
    </row>
    <row r="632">
      <c r="C632" s="31"/>
      <c r="E632" s="31"/>
      <c r="F632" s="57"/>
      <c r="G632" s="58"/>
    </row>
    <row r="633">
      <c r="C633" s="31"/>
      <c r="E633" s="31"/>
      <c r="F633" s="57"/>
      <c r="G633" s="58"/>
    </row>
    <row r="634">
      <c r="C634" s="31"/>
      <c r="E634" s="31"/>
      <c r="F634" s="57"/>
      <c r="G634" s="58"/>
    </row>
    <row r="635">
      <c r="C635" s="31"/>
      <c r="E635" s="31"/>
      <c r="F635" s="57"/>
      <c r="G635" s="58"/>
    </row>
    <row r="636">
      <c r="C636" s="31"/>
      <c r="E636" s="31"/>
      <c r="F636" s="57"/>
      <c r="G636" s="58"/>
    </row>
    <row r="637">
      <c r="C637" s="31"/>
      <c r="E637" s="31"/>
      <c r="F637" s="57"/>
      <c r="G637" s="58"/>
    </row>
    <row r="638">
      <c r="C638" s="31"/>
      <c r="E638" s="31"/>
      <c r="F638" s="57"/>
      <c r="G638" s="58"/>
    </row>
    <row r="639">
      <c r="C639" s="31"/>
      <c r="E639" s="31"/>
      <c r="F639" s="57"/>
      <c r="G639" s="58"/>
    </row>
    <row r="640">
      <c r="C640" s="31"/>
      <c r="E640" s="31"/>
      <c r="F640" s="57"/>
      <c r="G640" s="58"/>
    </row>
    <row r="641">
      <c r="C641" s="31"/>
      <c r="E641" s="31"/>
      <c r="F641" s="57"/>
      <c r="G641" s="58"/>
    </row>
    <row r="642">
      <c r="C642" s="31"/>
      <c r="E642" s="31"/>
      <c r="F642" s="57"/>
      <c r="G642" s="58"/>
    </row>
    <row r="643">
      <c r="C643" s="31"/>
      <c r="E643" s="31"/>
      <c r="F643" s="57"/>
      <c r="G643" s="58"/>
    </row>
    <row r="644">
      <c r="C644" s="31"/>
      <c r="E644" s="31"/>
      <c r="F644" s="57"/>
      <c r="G644" s="58"/>
    </row>
    <row r="645">
      <c r="C645" s="31"/>
      <c r="E645" s="31"/>
      <c r="F645" s="57"/>
      <c r="G645" s="58"/>
    </row>
    <row r="646">
      <c r="C646" s="31"/>
      <c r="E646" s="31"/>
      <c r="F646" s="57"/>
      <c r="G646" s="58"/>
    </row>
    <row r="647">
      <c r="C647" s="31"/>
      <c r="E647" s="31"/>
      <c r="F647" s="57"/>
      <c r="G647" s="58"/>
    </row>
    <row r="648">
      <c r="C648" s="31"/>
      <c r="E648" s="31"/>
      <c r="F648" s="57"/>
      <c r="G648" s="58"/>
    </row>
    <row r="649">
      <c r="C649" s="31"/>
      <c r="E649" s="31"/>
      <c r="F649" s="57"/>
      <c r="G649" s="58"/>
    </row>
    <row r="650">
      <c r="C650" s="31"/>
      <c r="E650" s="31"/>
      <c r="F650" s="57"/>
      <c r="G650" s="58"/>
    </row>
    <row r="651">
      <c r="C651" s="31"/>
      <c r="E651" s="31"/>
      <c r="F651" s="57"/>
      <c r="G651" s="58"/>
    </row>
    <row r="652">
      <c r="C652" s="31"/>
      <c r="E652" s="31"/>
      <c r="F652" s="57"/>
      <c r="G652" s="58"/>
    </row>
    <row r="653">
      <c r="C653" s="31"/>
      <c r="E653" s="31"/>
      <c r="F653" s="57"/>
      <c r="G653" s="58"/>
    </row>
    <row r="654">
      <c r="C654" s="31"/>
      <c r="E654" s="31"/>
      <c r="F654" s="57"/>
      <c r="G654" s="58"/>
    </row>
    <row r="655">
      <c r="C655" s="31"/>
      <c r="E655" s="31"/>
      <c r="F655" s="57"/>
      <c r="G655" s="58"/>
    </row>
    <row r="656">
      <c r="C656" s="31"/>
      <c r="E656" s="31"/>
      <c r="F656" s="57"/>
      <c r="G656" s="58"/>
    </row>
    <row r="657">
      <c r="C657" s="31"/>
      <c r="E657" s="31"/>
      <c r="F657" s="57"/>
      <c r="G657" s="58"/>
    </row>
    <row r="658">
      <c r="C658" s="31"/>
      <c r="E658" s="31"/>
      <c r="F658" s="57"/>
      <c r="G658" s="58"/>
    </row>
    <row r="659">
      <c r="C659" s="31"/>
      <c r="E659" s="31"/>
      <c r="F659" s="57"/>
      <c r="G659" s="58"/>
    </row>
    <row r="660">
      <c r="C660" s="31"/>
      <c r="E660" s="31"/>
      <c r="F660" s="57"/>
      <c r="G660" s="58"/>
    </row>
    <row r="661">
      <c r="C661" s="31"/>
      <c r="E661" s="31"/>
      <c r="F661" s="57"/>
      <c r="G661" s="58"/>
    </row>
    <row r="662">
      <c r="C662" s="31"/>
      <c r="E662" s="31"/>
      <c r="F662" s="57"/>
      <c r="G662" s="58"/>
    </row>
    <row r="663">
      <c r="C663" s="31"/>
      <c r="E663" s="31"/>
      <c r="F663" s="57"/>
      <c r="G663" s="58"/>
    </row>
    <row r="664">
      <c r="C664" s="31"/>
      <c r="E664" s="31"/>
      <c r="F664" s="57"/>
      <c r="G664" s="58"/>
    </row>
    <row r="665">
      <c r="C665" s="31"/>
      <c r="E665" s="31"/>
      <c r="F665" s="57"/>
      <c r="G665" s="58"/>
    </row>
    <row r="666">
      <c r="C666" s="31"/>
      <c r="E666" s="31"/>
      <c r="F666" s="57"/>
      <c r="G666" s="58"/>
    </row>
    <row r="667">
      <c r="C667" s="31"/>
      <c r="E667" s="31"/>
      <c r="F667" s="57"/>
      <c r="G667" s="58"/>
    </row>
    <row r="668">
      <c r="C668" s="31"/>
      <c r="E668" s="31"/>
      <c r="F668" s="57"/>
      <c r="G668" s="58"/>
    </row>
    <row r="669">
      <c r="C669" s="31"/>
      <c r="E669" s="31"/>
      <c r="F669" s="57"/>
      <c r="G669" s="58"/>
    </row>
    <row r="670">
      <c r="C670" s="31"/>
      <c r="E670" s="31"/>
      <c r="F670" s="57"/>
      <c r="G670" s="58"/>
    </row>
    <row r="671">
      <c r="C671" s="31"/>
      <c r="E671" s="31"/>
      <c r="F671" s="57"/>
      <c r="G671" s="58"/>
    </row>
    <row r="672">
      <c r="C672" s="31"/>
      <c r="E672" s="31"/>
      <c r="F672" s="57"/>
      <c r="G672" s="58"/>
    </row>
    <row r="673">
      <c r="C673" s="31"/>
      <c r="E673" s="31"/>
      <c r="F673" s="57"/>
      <c r="G673" s="58"/>
    </row>
    <row r="674">
      <c r="C674" s="31"/>
      <c r="E674" s="31"/>
      <c r="F674" s="57"/>
      <c r="G674" s="58"/>
    </row>
    <row r="675">
      <c r="C675" s="31"/>
      <c r="E675" s="31"/>
      <c r="F675" s="57"/>
      <c r="G675" s="58"/>
    </row>
    <row r="676">
      <c r="C676" s="31"/>
      <c r="E676" s="31"/>
      <c r="F676" s="57"/>
      <c r="G676" s="58"/>
    </row>
    <row r="677">
      <c r="C677" s="31"/>
      <c r="E677" s="31"/>
      <c r="F677" s="57"/>
      <c r="G677" s="58"/>
    </row>
    <row r="678">
      <c r="C678" s="31"/>
      <c r="E678" s="31"/>
      <c r="F678" s="57"/>
      <c r="G678" s="58"/>
    </row>
    <row r="679">
      <c r="C679" s="31"/>
      <c r="E679" s="31"/>
      <c r="F679" s="57"/>
      <c r="G679" s="58"/>
    </row>
    <row r="680">
      <c r="C680" s="31"/>
      <c r="E680" s="31"/>
      <c r="F680" s="57"/>
      <c r="G680" s="58"/>
    </row>
    <row r="681">
      <c r="C681" s="31"/>
      <c r="E681" s="31"/>
      <c r="F681" s="57"/>
      <c r="G681" s="58"/>
    </row>
    <row r="682">
      <c r="C682" s="31"/>
      <c r="E682" s="31"/>
      <c r="F682" s="57"/>
      <c r="G682" s="58"/>
    </row>
    <row r="683">
      <c r="C683" s="31"/>
      <c r="E683" s="31"/>
      <c r="F683" s="57"/>
      <c r="G683" s="58"/>
    </row>
    <row r="684">
      <c r="C684" s="31"/>
      <c r="E684" s="31"/>
      <c r="F684" s="57"/>
      <c r="G684" s="58"/>
    </row>
    <row r="685">
      <c r="C685" s="31"/>
      <c r="E685" s="31"/>
      <c r="F685" s="57"/>
      <c r="G685" s="58"/>
    </row>
    <row r="686">
      <c r="C686" s="31"/>
      <c r="E686" s="31"/>
      <c r="F686" s="57"/>
      <c r="G686" s="58"/>
    </row>
    <row r="687">
      <c r="C687" s="31"/>
      <c r="E687" s="31"/>
      <c r="F687" s="57"/>
      <c r="G687" s="58"/>
    </row>
    <row r="688">
      <c r="C688" s="31"/>
      <c r="E688" s="31"/>
      <c r="F688" s="57"/>
      <c r="G688" s="58"/>
    </row>
    <row r="689">
      <c r="C689" s="31"/>
      <c r="E689" s="31"/>
      <c r="F689" s="57"/>
      <c r="G689" s="58"/>
    </row>
    <row r="690">
      <c r="C690" s="31"/>
      <c r="E690" s="31"/>
      <c r="F690" s="57"/>
      <c r="G690" s="58"/>
    </row>
    <row r="691">
      <c r="C691" s="31"/>
      <c r="E691" s="31"/>
      <c r="F691" s="57"/>
      <c r="G691" s="58"/>
    </row>
    <row r="692">
      <c r="C692" s="31"/>
      <c r="E692" s="31"/>
      <c r="F692" s="57"/>
      <c r="G692" s="58"/>
    </row>
    <row r="693">
      <c r="C693" s="31"/>
      <c r="E693" s="31"/>
      <c r="F693" s="57"/>
      <c r="G693" s="58"/>
    </row>
    <row r="694">
      <c r="C694" s="31"/>
      <c r="E694" s="31"/>
      <c r="F694" s="57"/>
      <c r="G694" s="58"/>
    </row>
    <row r="695">
      <c r="C695" s="31"/>
      <c r="E695" s="31"/>
      <c r="F695" s="57"/>
      <c r="G695" s="58"/>
    </row>
    <row r="696">
      <c r="C696" s="31"/>
      <c r="E696" s="31"/>
      <c r="F696" s="57"/>
      <c r="G696" s="58"/>
    </row>
    <row r="697">
      <c r="C697" s="31"/>
      <c r="E697" s="31"/>
      <c r="F697" s="57"/>
      <c r="G697" s="58"/>
    </row>
    <row r="698">
      <c r="C698" s="31"/>
      <c r="E698" s="31"/>
      <c r="F698" s="57"/>
      <c r="G698" s="58"/>
    </row>
    <row r="699">
      <c r="C699" s="31"/>
      <c r="E699" s="31"/>
      <c r="F699" s="57"/>
      <c r="G699" s="58"/>
    </row>
    <row r="700">
      <c r="C700" s="31"/>
      <c r="E700" s="31"/>
      <c r="F700" s="57"/>
      <c r="G700" s="58"/>
    </row>
    <row r="701">
      <c r="C701" s="31"/>
      <c r="E701" s="31"/>
      <c r="F701" s="57"/>
      <c r="G701" s="58"/>
    </row>
    <row r="702">
      <c r="C702" s="31"/>
      <c r="E702" s="31"/>
      <c r="F702" s="57"/>
      <c r="G702" s="58"/>
    </row>
    <row r="703">
      <c r="C703" s="31"/>
      <c r="E703" s="31"/>
      <c r="F703" s="57"/>
      <c r="G703" s="58"/>
    </row>
    <row r="704">
      <c r="C704" s="31"/>
      <c r="E704" s="31"/>
      <c r="F704" s="57"/>
      <c r="G704" s="58"/>
    </row>
    <row r="705">
      <c r="C705" s="31"/>
      <c r="E705" s="31"/>
      <c r="F705" s="57"/>
      <c r="G705" s="58"/>
    </row>
    <row r="706">
      <c r="C706" s="31"/>
      <c r="E706" s="31"/>
      <c r="F706" s="57"/>
      <c r="G706" s="58"/>
    </row>
    <row r="707">
      <c r="C707" s="31"/>
      <c r="E707" s="31"/>
      <c r="F707" s="57"/>
      <c r="G707" s="58"/>
    </row>
    <row r="708">
      <c r="C708" s="31"/>
      <c r="E708" s="31"/>
      <c r="F708" s="57"/>
      <c r="G708" s="58"/>
    </row>
    <row r="709">
      <c r="C709" s="31"/>
      <c r="E709" s="31"/>
      <c r="F709" s="57"/>
      <c r="G709" s="58"/>
    </row>
    <row r="710">
      <c r="C710" s="31"/>
      <c r="E710" s="31"/>
      <c r="F710" s="57"/>
      <c r="G710" s="58"/>
    </row>
    <row r="711">
      <c r="C711" s="31"/>
      <c r="E711" s="31"/>
      <c r="F711" s="57"/>
      <c r="G711" s="58"/>
    </row>
    <row r="712">
      <c r="C712" s="31"/>
      <c r="E712" s="31"/>
      <c r="F712" s="57"/>
      <c r="G712" s="58"/>
    </row>
    <row r="713">
      <c r="C713" s="31"/>
      <c r="E713" s="31"/>
      <c r="F713" s="57"/>
      <c r="G713" s="58"/>
    </row>
    <row r="714">
      <c r="C714" s="31"/>
      <c r="E714" s="31"/>
      <c r="F714" s="57"/>
      <c r="G714" s="58"/>
    </row>
    <row r="715">
      <c r="C715" s="31"/>
      <c r="E715" s="31"/>
      <c r="F715" s="57"/>
      <c r="G715" s="58"/>
    </row>
    <row r="716">
      <c r="C716" s="31"/>
      <c r="E716" s="31"/>
      <c r="F716" s="57"/>
      <c r="G716" s="58"/>
    </row>
    <row r="717">
      <c r="C717" s="31"/>
      <c r="E717" s="31"/>
      <c r="F717" s="57"/>
      <c r="G717" s="58"/>
    </row>
    <row r="718">
      <c r="C718" s="31"/>
      <c r="E718" s="31"/>
      <c r="F718" s="57"/>
      <c r="G718" s="58"/>
    </row>
    <row r="719">
      <c r="C719" s="31"/>
      <c r="E719" s="31"/>
      <c r="F719" s="57"/>
      <c r="G719" s="58"/>
    </row>
    <row r="720">
      <c r="C720" s="31"/>
      <c r="E720" s="31"/>
      <c r="F720" s="57"/>
      <c r="G720" s="58"/>
    </row>
    <row r="721">
      <c r="C721" s="31"/>
      <c r="E721" s="31"/>
      <c r="F721" s="57"/>
      <c r="G721" s="58"/>
    </row>
    <row r="722">
      <c r="C722" s="31"/>
      <c r="E722" s="31"/>
      <c r="F722" s="57"/>
      <c r="G722" s="58"/>
    </row>
    <row r="723">
      <c r="C723" s="31"/>
      <c r="E723" s="31"/>
      <c r="F723" s="57"/>
      <c r="G723" s="58"/>
    </row>
    <row r="724">
      <c r="C724" s="31"/>
      <c r="E724" s="31"/>
      <c r="F724" s="57"/>
      <c r="G724" s="58"/>
    </row>
    <row r="725">
      <c r="C725" s="31"/>
      <c r="E725" s="31"/>
      <c r="F725" s="57"/>
      <c r="G725" s="58"/>
    </row>
    <row r="726">
      <c r="C726" s="31"/>
      <c r="E726" s="31"/>
      <c r="F726" s="57"/>
      <c r="G726" s="58"/>
    </row>
    <row r="727">
      <c r="C727" s="31"/>
      <c r="E727" s="31"/>
      <c r="F727" s="57"/>
      <c r="G727" s="58"/>
    </row>
    <row r="728">
      <c r="C728" s="31"/>
      <c r="E728" s="31"/>
      <c r="F728" s="57"/>
      <c r="G728" s="58"/>
    </row>
    <row r="729">
      <c r="C729" s="31"/>
      <c r="E729" s="31"/>
      <c r="F729" s="57"/>
      <c r="G729" s="58"/>
    </row>
    <row r="730">
      <c r="C730" s="31"/>
      <c r="E730" s="31"/>
      <c r="F730" s="57"/>
      <c r="G730" s="58"/>
    </row>
    <row r="731">
      <c r="C731" s="31"/>
      <c r="E731" s="31"/>
      <c r="F731" s="57"/>
      <c r="G731" s="58"/>
    </row>
    <row r="732">
      <c r="C732" s="31"/>
      <c r="E732" s="31"/>
      <c r="F732" s="57"/>
      <c r="G732" s="58"/>
    </row>
    <row r="733">
      <c r="C733" s="31"/>
      <c r="E733" s="31"/>
      <c r="F733" s="57"/>
      <c r="G733" s="58"/>
    </row>
    <row r="734">
      <c r="C734" s="31"/>
      <c r="E734" s="31"/>
      <c r="F734" s="57"/>
      <c r="G734" s="58"/>
    </row>
    <row r="735">
      <c r="C735" s="31"/>
      <c r="E735" s="31"/>
      <c r="F735" s="57"/>
      <c r="G735" s="58"/>
    </row>
    <row r="736">
      <c r="C736" s="31"/>
      <c r="E736" s="31"/>
      <c r="F736" s="57"/>
      <c r="G736" s="58"/>
    </row>
    <row r="737">
      <c r="C737" s="31"/>
      <c r="E737" s="31"/>
      <c r="F737" s="57"/>
      <c r="G737" s="58"/>
    </row>
    <row r="738">
      <c r="C738" s="31"/>
      <c r="E738" s="31"/>
      <c r="F738" s="57"/>
      <c r="G738" s="58"/>
    </row>
    <row r="739">
      <c r="C739" s="31"/>
      <c r="E739" s="31"/>
      <c r="F739" s="57"/>
      <c r="G739" s="58"/>
    </row>
    <row r="740">
      <c r="C740" s="31"/>
      <c r="E740" s="31"/>
      <c r="F740" s="57"/>
      <c r="G740" s="58"/>
    </row>
    <row r="741">
      <c r="C741" s="31"/>
      <c r="E741" s="31"/>
      <c r="F741" s="57"/>
      <c r="G741" s="58"/>
    </row>
    <row r="742">
      <c r="C742" s="31"/>
      <c r="E742" s="31"/>
      <c r="F742" s="57"/>
      <c r="G742" s="58"/>
    </row>
    <row r="743">
      <c r="C743" s="31"/>
      <c r="E743" s="31"/>
      <c r="F743" s="57"/>
      <c r="G743" s="58"/>
    </row>
    <row r="744">
      <c r="C744" s="31"/>
      <c r="E744" s="31"/>
      <c r="F744" s="57"/>
      <c r="G744" s="58"/>
    </row>
    <row r="745">
      <c r="C745" s="31"/>
      <c r="E745" s="31"/>
      <c r="F745" s="57"/>
      <c r="G745" s="58"/>
    </row>
    <row r="746">
      <c r="C746" s="31"/>
      <c r="E746" s="31"/>
      <c r="F746" s="57"/>
      <c r="G746" s="58"/>
    </row>
    <row r="747">
      <c r="C747" s="31"/>
      <c r="E747" s="31"/>
      <c r="F747" s="57"/>
      <c r="G747" s="58"/>
    </row>
    <row r="748">
      <c r="C748" s="31"/>
      <c r="E748" s="31"/>
      <c r="F748" s="57"/>
      <c r="G748" s="58"/>
    </row>
    <row r="749">
      <c r="C749" s="31"/>
      <c r="E749" s="31"/>
      <c r="F749" s="57"/>
      <c r="G749" s="58"/>
    </row>
    <row r="750">
      <c r="C750" s="31"/>
      <c r="E750" s="31"/>
      <c r="F750" s="57"/>
      <c r="G750" s="58"/>
    </row>
    <row r="751">
      <c r="C751" s="31"/>
      <c r="E751" s="31"/>
      <c r="F751" s="57"/>
      <c r="G751" s="58"/>
    </row>
    <row r="752">
      <c r="C752" s="31"/>
      <c r="E752" s="31"/>
      <c r="F752" s="57"/>
      <c r="G752" s="58"/>
    </row>
    <row r="753">
      <c r="C753" s="31"/>
      <c r="E753" s="31"/>
      <c r="F753" s="57"/>
      <c r="G753" s="58"/>
    </row>
    <row r="754">
      <c r="C754" s="31"/>
      <c r="E754" s="31"/>
      <c r="F754" s="57"/>
      <c r="G754" s="58"/>
    </row>
    <row r="755">
      <c r="C755" s="31"/>
      <c r="E755" s="31"/>
      <c r="F755" s="57"/>
      <c r="G755" s="58"/>
    </row>
    <row r="756">
      <c r="C756" s="31"/>
      <c r="E756" s="31"/>
      <c r="F756" s="57"/>
      <c r="G756" s="58"/>
    </row>
    <row r="757">
      <c r="C757" s="31"/>
      <c r="E757" s="31"/>
      <c r="F757" s="57"/>
      <c r="G757" s="58"/>
    </row>
    <row r="758">
      <c r="C758" s="31"/>
      <c r="E758" s="31"/>
      <c r="F758" s="57"/>
      <c r="G758" s="58"/>
    </row>
    <row r="759">
      <c r="C759" s="31"/>
      <c r="E759" s="31"/>
      <c r="F759" s="57"/>
      <c r="G759" s="58"/>
    </row>
    <row r="760">
      <c r="C760" s="31"/>
      <c r="E760" s="31"/>
      <c r="F760" s="57"/>
      <c r="G760" s="58"/>
    </row>
    <row r="761">
      <c r="C761" s="31"/>
      <c r="E761" s="31"/>
      <c r="F761" s="57"/>
      <c r="G761" s="58"/>
    </row>
    <row r="762">
      <c r="C762" s="31"/>
      <c r="E762" s="31"/>
      <c r="F762" s="57"/>
      <c r="G762" s="58"/>
    </row>
    <row r="763">
      <c r="C763" s="31"/>
      <c r="E763" s="31"/>
      <c r="F763" s="57"/>
      <c r="G763" s="58"/>
    </row>
    <row r="764">
      <c r="C764" s="31"/>
      <c r="E764" s="31"/>
      <c r="F764" s="57"/>
      <c r="G764" s="58"/>
    </row>
    <row r="765">
      <c r="C765" s="31"/>
      <c r="E765" s="31"/>
      <c r="F765" s="57"/>
      <c r="G765" s="58"/>
    </row>
    <row r="766">
      <c r="C766" s="31"/>
      <c r="E766" s="31"/>
      <c r="F766" s="57"/>
      <c r="G766" s="58"/>
    </row>
    <row r="767">
      <c r="C767" s="31"/>
      <c r="E767" s="31"/>
      <c r="F767" s="57"/>
      <c r="G767" s="58"/>
    </row>
    <row r="768">
      <c r="C768" s="31"/>
      <c r="E768" s="31"/>
      <c r="F768" s="57"/>
      <c r="G768" s="58"/>
    </row>
    <row r="769">
      <c r="C769" s="31"/>
      <c r="E769" s="31"/>
      <c r="F769" s="57"/>
      <c r="G769" s="58"/>
    </row>
    <row r="770">
      <c r="C770" s="31"/>
      <c r="E770" s="31"/>
      <c r="F770" s="57"/>
      <c r="G770" s="58"/>
    </row>
    <row r="771">
      <c r="C771" s="31"/>
      <c r="E771" s="31"/>
      <c r="F771" s="57"/>
      <c r="G771" s="58"/>
    </row>
    <row r="772">
      <c r="C772" s="31"/>
      <c r="E772" s="31"/>
      <c r="F772" s="57"/>
      <c r="G772" s="58"/>
    </row>
    <row r="773">
      <c r="C773" s="31"/>
      <c r="E773" s="31"/>
      <c r="F773" s="57"/>
      <c r="G773" s="58"/>
    </row>
    <row r="774">
      <c r="C774" s="31"/>
      <c r="E774" s="31"/>
      <c r="F774" s="57"/>
      <c r="G774" s="58"/>
    </row>
    <row r="775">
      <c r="C775" s="31"/>
      <c r="E775" s="31"/>
      <c r="F775" s="57"/>
      <c r="G775" s="58"/>
    </row>
    <row r="776">
      <c r="C776" s="31"/>
      <c r="E776" s="31"/>
      <c r="F776" s="57"/>
      <c r="G776" s="58"/>
    </row>
    <row r="777">
      <c r="C777" s="31"/>
      <c r="E777" s="31"/>
      <c r="F777" s="57"/>
      <c r="G777" s="58"/>
    </row>
    <row r="778">
      <c r="C778" s="31"/>
      <c r="E778" s="31"/>
      <c r="F778" s="57"/>
      <c r="G778" s="58"/>
    </row>
    <row r="779">
      <c r="C779" s="31"/>
      <c r="E779" s="31"/>
      <c r="F779" s="57"/>
      <c r="G779" s="58"/>
    </row>
    <row r="780">
      <c r="C780" s="31"/>
      <c r="E780" s="31"/>
      <c r="F780" s="57"/>
      <c r="G780" s="58"/>
    </row>
    <row r="781">
      <c r="C781" s="31"/>
      <c r="E781" s="31"/>
      <c r="F781" s="57"/>
      <c r="G781" s="58"/>
    </row>
    <row r="782">
      <c r="C782" s="31"/>
      <c r="E782" s="31"/>
      <c r="F782" s="57"/>
      <c r="G782" s="58"/>
    </row>
    <row r="783">
      <c r="C783" s="31"/>
      <c r="E783" s="31"/>
      <c r="F783" s="57"/>
      <c r="G783" s="58"/>
    </row>
    <row r="784">
      <c r="C784" s="31"/>
      <c r="E784" s="31"/>
      <c r="F784" s="57"/>
      <c r="G784" s="58"/>
    </row>
    <row r="785">
      <c r="C785" s="31"/>
      <c r="E785" s="31"/>
      <c r="F785" s="57"/>
      <c r="G785" s="58"/>
    </row>
    <row r="786">
      <c r="C786" s="31"/>
      <c r="E786" s="31"/>
      <c r="F786" s="57"/>
      <c r="G786" s="58"/>
    </row>
    <row r="787">
      <c r="C787" s="31"/>
      <c r="E787" s="31"/>
      <c r="F787" s="57"/>
      <c r="G787" s="58"/>
    </row>
    <row r="788">
      <c r="C788" s="31"/>
      <c r="E788" s="31"/>
      <c r="F788" s="57"/>
      <c r="G788" s="58"/>
    </row>
    <row r="789">
      <c r="C789" s="31"/>
      <c r="E789" s="31"/>
      <c r="F789" s="57"/>
      <c r="G789" s="58"/>
    </row>
    <row r="790">
      <c r="C790" s="31"/>
      <c r="E790" s="31"/>
      <c r="F790" s="57"/>
      <c r="G790" s="58"/>
    </row>
    <row r="791">
      <c r="C791" s="31"/>
      <c r="E791" s="31"/>
      <c r="F791" s="57"/>
      <c r="G791" s="58"/>
    </row>
    <row r="792">
      <c r="C792" s="31"/>
      <c r="E792" s="31"/>
      <c r="F792" s="57"/>
      <c r="G792" s="58"/>
    </row>
    <row r="793">
      <c r="C793" s="31"/>
      <c r="E793" s="31"/>
      <c r="F793" s="57"/>
      <c r="G793" s="58"/>
    </row>
    <row r="794">
      <c r="C794" s="31"/>
      <c r="E794" s="31"/>
      <c r="F794" s="57"/>
      <c r="G794" s="58"/>
    </row>
    <row r="795">
      <c r="C795" s="31"/>
      <c r="E795" s="31"/>
      <c r="F795" s="57"/>
      <c r="G795" s="58"/>
    </row>
    <row r="796">
      <c r="C796" s="31"/>
      <c r="E796" s="31"/>
      <c r="F796" s="57"/>
      <c r="G796" s="58"/>
    </row>
    <row r="797">
      <c r="C797" s="31"/>
      <c r="E797" s="31"/>
      <c r="F797" s="57"/>
      <c r="G797" s="58"/>
    </row>
    <row r="798">
      <c r="C798" s="31"/>
      <c r="E798" s="31"/>
      <c r="F798" s="57"/>
      <c r="G798" s="58"/>
    </row>
    <row r="799">
      <c r="C799" s="31"/>
      <c r="E799" s="31"/>
      <c r="F799" s="57"/>
      <c r="G799" s="58"/>
    </row>
    <row r="800">
      <c r="C800" s="31"/>
      <c r="E800" s="31"/>
      <c r="F800" s="57"/>
      <c r="G800" s="58"/>
    </row>
    <row r="801">
      <c r="C801" s="31"/>
      <c r="E801" s="31"/>
      <c r="F801" s="57"/>
      <c r="G801" s="58"/>
    </row>
    <row r="802">
      <c r="C802" s="31"/>
      <c r="E802" s="31"/>
      <c r="F802" s="57"/>
      <c r="G802" s="58"/>
    </row>
    <row r="803">
      <c r="C803" s="31"/>
      <c r="E803" s="31"/>
      <c r="F803" s="57"/>
      <c r="G803" s="58"/>
    </row>
    <row r="804">
      <c r="C804" s="31"/>
      <c r="E804" s="31"/>
      <c r="F804" s="57"/>
      <c r="G804" s="58"/>
    </row>
    <row r="805">
      <c r="C805" s="31"/>
      <c r="E805" s="31"/>
      <c r="F805" s="57"/>
      <c r="G805" s="58"/>
    </row>
    <row r="806">
      <c r="C806" s="31"/>
      <c r="E806" s="31"/>
      <c r="F806" s="57"/>
      <c r="G806" s="58"/>
    </row>
    <row r="807">
      <c r="C807" s="31"/>
      <c r="E807" s="31"/>
      <c r="F807" s="57"/>
      <c r="G807" s="58"/>
    </row>
    <row r="808">
      <c r="C808" s="31"/>
      <c r="E808" s="31"/>
      <c r="F808" s="57"/>
      <c r="G808" s="58"/>
    </row>
    <row r="809">
      <c r="C809" s="31"/>
      <c r="E809" s="31"/>
      <c r="F809" s="57"/>
      <c r="G809" s="58"/>
    </row>
    <row r="810">
      <c r="C810" s="31"/>
      <c r="E810" s="31"/>
      <c r="F810" s="57"/>
      <c r="G810" s="58"/>
    </row>
    <row r="811">
      <c r="C811" s="31"/>
      <c r="E811" s="31"/>
      <c r="F811" s="57"/>
      <c r="G811" s="58"/>
    </row>
    <row r="812">
      <c r="C812" s="31"/>
      <c r="E812" s="31"/>
      <c r="F812" s="57"/>
      <c r="G812" s="58"/>
    </row>
    <row r="813">
      <c r="C813" s="31"/>
      <c r="E813" s="31"/>
      <c r="F813" s="57"/>
      <c r="G813" s="58"/>
    </row>
    <row r="814">
      <c r="C814" s="31"/>
      <c r="E814" s="31"/>
      <c r="F814" s="57"/>
      <c r="G814" s="58"/>
    </row>
    <row r="815">
      <c r="C815" s="31"/>
      <c r="E815" s="31"/>
      <c r="F815" s="57"/>
      <c r="G815" s="58"/>
    </row>
    <row r="816">
      <c r="C816" s="31"/>
      <c r="E816" s="31"/>
      <c r="F816" s="57"/>
      <c r="G816" s="58"/>
    </row>
    <row r="817">
      <c r="C817" s="31"/>
      <c r="E817" s="31"/>
      <c r="F817" s="57"/>
      <c r="G817" s="58"/>
    </row>
    <row r="818">
      <c r="C818" s="31"/>
      <c r="E818" s="31"/>
      <c r="F818" s="57"/>
      <c r="G818" s="58"/>
    </row>
    <row r="819">
      <c r="C819" s="31"/>
      <c r="E819" s="31"/>
      <c r="F819" s="57"/>
      <c r="G819" s="58"/>
    </row>
    <row r="820">
      <c r="C820" s="31"/>
      <c r="E820" s="31"/>
      <c r="F820" s="57"/>
      <c r="G820" s="58"/>
    </row>
    <row r="821">
      <c r="C821" s="31"/>
      <c r="E821" s="31"/>
      <c r="F821" s="57"/>
      <c r="G821" s="58"/>
    </row>
    <row r="822">
      <c r="C822" s="31"/>
      <c r="E822" s="31"/>
      <c r="F822" s="57"/>
      <c r="G822" s="58"/>
    </row>
    <row r="823">
      <c r="C823" s="31"/>
      <c r="E823" s="31"/>
      <c r="F823" s="57"/>
      <c r="G823" s="58"/>
    </row>
    <row r="824">
      <c r="C824" s="31"/>
      <c r="E824" s="31"/>
      <c r="F824" s="57"/>
      <c r="G824" s="58"/>
    </row>
    <row r="825">
      <c r="C825" s="31"/>
      <c r="E825" s="31"/>
      <c r="F825" s="57"/>
      <c r="G825" s="58"/>
    </row>
    <row r="826">
      <c r="C826" s="31"/>
      <c r="E826" s="31"/>
      <c r="F826" s="57"/>
      <c r="G826" s="58"/>
    </row>
    <row r="827">
      <c r="C827" s="31"/>
      <c r="E827" s="31"/>
      <c r="F827" s="57"/>
      <c r="G827" s="58"/>
    </row>
    <row r="828">
      <c r="C828" s="31"/>
      <c r="E828" s="31"/>
      <c r="F828" s="57"/>
      <c r="G828" s="58"/>
    </row>
    <row r="829">
      <c r="C829" s="31"/>
      <c r="E829" s="31"/>
      <c r="F829" s="57"/>
      <c r="G829" s="58"/>
    </row>
    <row r="830">
      <c r="C830" s="31"/>
      <c r="E830" s="31"/>
      <c r="F830" s="57"/>
      <c r="G830" s="58"/>
    </row>
    <row r="831">
      <c r="C831" s="31"/>
      <c r="E831" s="31"/>
      <c r="F831" s="57"/>
      <c r="G831" s="58"/>
    </row>
    <row r="832">
      <c r="C832" s="31"/>
      <c r="E832" s="31"/>
      <c r="F832" s="57"/>
      <c r="G832" s="58"/>
    </row>
    <row r="833">
      <c r="C833" s="31"/>
      <c r="E833" s="31"/>
      <c r="F833" s="57"/>
      <c r="G833" s="58"/>
    </row>
    <row r="834">
      <c r="C834" s="31"/>
      <c r="E834" s="31"/>
      <c r="F834" s="57"/>
      <c r="G834" s="58"/>
    </row>
    <row r="835">
      <c r="C835" s="31"/>
      <c r="E835" s="31"/>
      <c r="F835" s="57"/>
      <c r="G835" s="58"/>
    </row>
    <row r="836">
      <c r="C836" s="31"/>
      <c r="E836" s="31"/>
      <c r="F836" s="57"/>
      <c r="G836" s="58"/>
    </row>
    <row r="837">
      <c r="C837" s="31"/>
      <c r="E837" s="31"/>
      <c r="F837" s="57"/>
      <c r="G837" s="58"/>
    </row>
    <row r="838">
      <c r="C838" s="31"/>
      <c r="E838" s="31"/>
      <c r="F838" s="57"/>
      <c r="G838" s="58"/>
    </row>
    <row r="839">
      <c r="C839" s="31"/>
      <c r="E839" s="31"/>
      <c r="F839" s="57"/>
      <c r="G839" s="58"/>
    </row>
    <row r="840">
      <c r="C840" s="31"/>
      <c r="E840" s="31"/>
      <c r="F840" s="57"/>
      <c r="G840" s="58"/>
    </row>
    <row r="841">
      <c r="C841" s="31"/>
      <c r="E841" s="31"/>
      <c r="F841" s="57"/>
      <c r="G841" s="58"/>
    </row>
    <row r="842">
      <c r="C842" s="31"/>
      <c r="E842" s="31"/>
      <c r="F842" s="57"/>
      <c r="G842" s="58"/>
    </row>
    <row r="843">
      <c r="C843" s="31"/>
      <c r="E843" s="31"/>
      <c r="F843" s="57"/>
      <c r="G843" s="58"/>
    </row>
    <row r="844">
      <c r="C844" s="31"/>
      <c r="E844" s="31"/>
      <c r="F844" s="57"/>
      <c r="G844" s="58"/>
    </row>
    <row r="845">
      <c r="C845" s="31"/>
      <c r="E845" s="31"/>
      <c r="F845" s="57"/>
      <c r="G845" s="58"/>
    </row>
    <row r="846">
      <c r="C846" s="31"/>
      <c r="E846" s="31"/>
      <c r="F846" s="57"/>
      <c r="G846" s="58"/>
    </row>
    <row r="847">
      <c r="C847" s="31"/>
      <c r="E847" s="31"/>
      <c r="F847" s="57"/>
      <c r="G847" s="58"/>
    </row>
    <row r="848">
      <c r="C848" s="31"/>
      <c r="E848" s="31"/>
      <c r="F848" s="57"/>
      <c r="G848" s="58"/>
    </row>
    <row r="849">
      <c r="C849" s="31"/>
      <c r="E849" s="31"/>
      <c r="F849" s="57"/>
      <c r="G849" s="58"/>
    </row>
    <row r="850">
      <c r="C850" s="31"/>
      <c r="E850" s="31"/>
      <c r="F850" s="57"/>
      <c r="G850" s="58"/>
    </row>
    <row r="851">
      <c r="C851" s="31"/>
      <c r="E851" s="31"/>
      <c r="F851" s="57"/>
      <c r="G851" s="58"/>
    </row>
    <row r="852">
      <c r="C852" s="31"/>
      <c r="E852" s="31"/>
      <c r="F852" s="57"/>
      <c r="G852" s="58"/>
    </row>
    <row r="853">
      <c r="C853" s="31"/>
      <c r="E853" s="31"/>
      <c r="F853" s="57"/>
      <c r="G853" s="58"/>
    </row>
    <row r="854">
      <c r="C854" s="31"/>
      <c r="E854" s="31"/>
      <c r="F854" s="57"/>
      <c r="G854" s="58"/>
    </row>
    <row r="855">
      <c r="C855" s="31"/>
      <c r="E855" s="31"/>
      <c r="F855" s="57"/>
      <c r="G855" s="58"/>
    </row>
    <row r="856">
      <c r="C856" s="31"/>
      <c r="E856" s="31"/>
      <c r="F856" s="57"/>
      <c r="G856" s="58"/>
    </row>
    <row r="857">
      <c r="C857" s="31"/>
      <c r="E857" s="31"/>
      <c r="F857" s="57"/>
      <c r="G857" s="58"/>
    </row>
    <row r="858">
      <c r="C858" s="31"/>
      <c r="E858" s="31"/>
      <c r="F858" s="57"/>
      <c r="G858" s="58"/>
    </row>
    <row r="859">
      <c r="C859" s="31"/>
      <c r="E859" s="31"/>
      <c r="F859" s="57"/>
      <c r="G859" s="58"/>
    </row>
    <row r="860">
      <c r="C860" s="31"/>
      <c r="E860" s="31"/>
      <c r="F860" s="57"/>
      <c r="G860" s="58"/>
    </row>
    <row r="861">
      <c r="C861" s="31"/>
      <c r="E861" s="31"/>
      <c r="F861" s="57"/>
      <c r="G861" s="58"/>
    </row>
    <row r="862">
      <c r="C862" s="31"/>
      <c r="E862" s="31"/>
      <c r="F862" s="57"/>
      <c r="G862" s="58"/>
    </row>
    <row r="863">
      <c r="C863" s="31"/>
      <c r="E863" s="31"/>
      <c r="F863" s="57"/>
      <c r="G863" s="58"/>
    </row>
    <row r="864">
      <c r="C864" s="31"/>
      <c r="E864" s="31"/>
      <c r="F864" s="57"/>
      <c r="G864" s="58"/>
    </row>
    <row r="865">
      <c r="C865" s="31"/>
      <c r="E865" s="31"/>
      <c r="F865" s="57"/>
      <c r="G865" s="58"/>
    </row>
    <row r="866">
      <c r="C866" s="31"/>
      <c r="E866" s="31"/>
      <c r="F866" s="57"/>
      <c r="G866" s="58"/>
    </row>
    <row r="867">
      <c r="C867" s="31"/>
      <c r="E867" s="31"/>
      <c r="F867" s="57"/>
      <c r="G867" s="58"/>
    </row>
    <row r="868">
      <c r="C868" s="31"/>
      <c r="E868" s="31"/>
      <c r="F868" s="57"/>
      <c r="G868" s="58"/>
    </row>
    <row r="869">
      <c r="C869" s="31"/>
      <c r="E869" s="31"/>
      <c r="F869" s="57"/>
      <c r="G869" s="58"/>
    </row>
    <row r="870">
      <c r="C870" s="31"/>
      <c r="E870" s="31"/>
      <c r="F870" s="57"/>
      <c r="G870" s="58"/>
    </row>
    <row r="871">
      <c r="C871" s="31"/>
      <c r="E871" s="31"/>
      <c r="F871" s="57"/>
      <c r="G871" s="58"/>
    </row>
    <row r="872">
      <c r="C872" s="31"/>
      <c r="E872" s="31"/>
      <c r="F872" s="57"/>
      <c r="G872" s="58"/>
    </row>
    <row r="873">
      <c r="C873" s="31"/>
      <c r="E873" s="31"/>
      <c r="F873" s="57"/>
      <c r="G873" s="58"/>
    </row>
    <row r="874">
      <c r="C874" s="31"/>
      <c r="E874" s="31"/>
      <c r="F874" s="57"/>
      <c r="G874" s="58"/>
    </row>
    <row r="875">
      <c r="C875" s="31"/>
      <c r="E875" s="31"/>
      <c r="F875" s="57"/>
      <c r="G875" s="58"/>
    </row>
    <row r="876">
      <c r="C876" s="31"/>
      <c r="E876" s="31"/>
      <c r="F876" s="57"/>
      <c r="G876" s="58"/>
    </row>
    <row r="877">
      <c r="C877" s="31"/>
      <c r="E877" s="31"/>
      <c r="F877" s="57"/>
      <c r="G877" s="58"/>
    </row>
    <row r="878">
      <c r="C878" s="31"/>
      <c r="E878" s="31"/>
      <c r="F878" s="57"/>
      <c r="G878" s="58"/>
    </row>
    <row r="879">
      <c r="C879" s="31"/>
      <c r="E879" s="31"/>
      <c r="F879" s="57"/>
      <c r="G879" s="58"/>
    </row>
    <row r="880">
      <c r="C880" s="31"/>
      <c r="E880" s="31"/>
      <c r="F880" s="57"/>
      <c r="G880" s="58"/>
    </row>
    <row r="881">
      <c r="C881" s="31"/>
      <c r="E881" s="31"/>
      <c r="F881" s="57"/>
      <c r="G881" s="58"/>
    </row>
    <row r="882">
      <c r="C882" s="31"/>
      <c r="E882" s="31"/>
      <c r="F882" s="57"/>
      <c r="G882" s="58"/>
    </row>
    <row r="883">
      <c r="C883" s="31"/>
      <c r="E883" s="31"/>
      <c r="F883" s="57"/>
      <c r="G883" s="58"/>
    </row>
    <row r="884">
      <c r="C884" s="31"/>
      <c r="E884" s="31"/>
      <c r="F884" s="57"/>
      <c r="G884" s="58"/>
    </row>
    <row r="885">
      <c r="C885" s="31"/>
      <c r="E885" s="31"/>
      <c r="F885" s="57"/>
      <c r="G885" s="58"/>
    </row>
    <row r="886">
      <c r="C886" s="31"/>
      <c r="E886" s="31"/>
      <c r="F886" s="57"/>
      <c r="G886" s="58"/>
    </row>
    <row r="887">
      <c r="C887" s="31"/>
      <c r="E887" s="31"/>
      <c r="F887" s="57"/>
      <c r="G887" s="58"/>
    </row>
    <row r="888">
      <c r="C888" s="31"/>
      <c r="E888" s="31"/>
      <c r="F888" s="57"/>
      <c r="G888" s="58"/>
    </row>
    <row r="889">
      <c r="C889" s="31"/>
      <c r="E889" s="31"/>
      <c r="F889" s="57"/>
      <c r="G889" s="58"/>
    </row>
    <row r="890">
      <c r="C890" s="31"/>
      <c r="E890" s="31"/>
      <c r="F890" s="57"/>
      <c r="G890" s="58"/>
    </row>
    <row r="891">
      <c r="C891" s="31"/>
      <c r="E891" s="31"/>
      <c r="F891" s="57"/>
      <c r="G891" s="58"/>
    </row>
    <row r="892">
      <c r="C892" s="31"/>
      <c r="E892" s="31"/>
      <c r="F892" s="57"/>
      <c r="G892" s="58"/>
    </row>
    <row r="893">
      <c r="C893" s="31"/>
      <c r="E893" s="31"/>
      <c r="F893" s="57"/>
      <c r="G893" s="58"/>
    </row>
    <row r="894">
      <c r="C894" s="31"/>
      <c r="E894" s="31"/>
      <c r="F894" s="57"/>
      <c r="G894" s="58"/>
    </row>
    <row r="895">
      <c r="C895" s="31"/>
      <c r="E895" s="31"/>
      <c r="F895" s="57"/>
      <c r="G895" s="58"/>
    </row>
    <row r="896">
      <c r="C896" s="31"/>
      <c r="E896" s="31"/>
      <c r="F896" s="57"/>
      <c r="G896" s="58"/>
    </row>
    <row r="897">
      <c r="C897" s="31"/>
      <c r="E897" s="31"/>
      <c r="F897" s="57"/>
      <c r="G897" s="58"/>
    </row>
    <row r="898">
      <c r="C898" s="31"/>
      <c r="E898" s="31"/>
      <c r="F898" s="57"/>
      <c r="G898" s="58"/>
    </row>
    <row r="899">
      <c r="C899" s="31"/>
      <c r="E899" s="31"/>
      <c r="F899" s="57"/>
      <c r="G899" s="58"/>
    </row>
    <row r="900">
      <c r="C900" s="31"/>
      <c r="E900" s="31"/>
      <c r="F900" s="57"/>
      <c r="G900" s="58"/>
    </row>
    <row r="901">
      <c r="C901" s="31"/>
      <c r="E901" s="31"/>
      <c r="F901" s="57"/>
      <c r="G901" s="58"/>
    </row>
    <row r="902">
      <c r="C902" s="31"/>
      <c r="E902" s="31"/>
      <c r="F902" s="57"/>
      <c r="G902" s="58"/>
    </row>
    <row r="903">
      <c r="C903" s="31"/>
      <c r="E903" s="31"/>
      <c r="F903" s="57"/>
      <c r="G903" s="58"/>
    </row>
    <row r="904">
      <c r="C904" s="31"/>
      <c r="E904" s="31"/>
      <c r="F904" s="57"/>
      <c r="G904" s="58"/>
    </row>
    <row r="905">
      <c r="C905" s="31"/>
      <c r="E905" s="31"/>
      <c r="F905" s="57"/>
      <c r="G905" s="58"/>
    </row>
    <row r="906">
      <c r="C906" s="31"/>
      <c r="E906" s="31"/>
      <c r="F906" s="57"/>
      <c r="G906" s="58"/>
    </row>
    <row r="907">
      <c r="C907" s="31"/>
      <c r="E907" s="31"/>
      <c r="F907" s="57"/>
      <c r="G907" s="58"/>
    </row>
    <row r="908">
      <c r="C908" s="31"/>
      <c r="E908" s="31"/>
      <c r="F908" s="57"/>
      <c r="G908" s="58"/>
    </row>
    <row r="909">
      <c r="C909" s="31"/>
      <c r="E909" s="31"/>
      <c r="F909" s="57"/>
      <c r="G909" s="58"/>
    </row>
    <row r="910">
      <c r="C910" s="31"/>
      <c r="E910" s="31"/>
      <c r="F910" s="57"/>
      <c r="G910" s="58"/>
    </row>
    <row r="911">
      <c r="C911" s="31"/>
      <c r="E911" s="31"/>
      <c r="F911" s="57"/>
      <c r="G911" s="58"/>
    </row>
    <row r="912">
      <c r="C912" s="31"/>
      <c r="E912" s="31"/>
      <c r="F912" s="57"/>
      <c r="G912" s="58"/>
    </row>
    <row r="913">
      <c r="C913" s="31"/>
      <c r="E913" s="31"/>
      <c r="F913" s="57"/>
      <c r="G913" s="58"/>
    </row>
    <row r="914">
      <c r="C914" s="31"/>
      <c r="E914" s="31"/>
      <c r="F914" s="57"/>
      <c r="G914" s="58"/>
    </row>
    <row r="915">
      <c r="C915" s="31"/>
      <c r="E915" s="31"/>
      <c r="F915" s="57"/>
      <c r="G915" s="58"/>
    </row>
    <row r="916">
      <c r="C916" s="31"/>
      <c r="E916" s="31"/>
      <c r="F916" s="57"/>
      <c r="G916" s="58"/>
    </row>
    <row r="917">
      <c r="C917" s="31"/>
      <c r="E917" s="31"/>
      <c r="F917" s="57"/>
      <c r="G917" s="58"/>
    </row>
    <row r="918">
      <c r="C918" s="31"/>
      <c r="E918" s="31"/>
      <c r="F918" s="57"/>
      <c r="G918" s="58"/>
    </row>
    <row r="919">
      <c r="C919" s="31"/>
      <c r="E919" s="31"/>
      <c r="F919" s="57"/>
      <c r="G919" s="58"/>
    </row>
    <row r="920">
      <c r="C920" s="31"/>
      <c r="E920" s="31"/>
      <c r="F920" s="57"/>
      <c r="G920" s="58"/>
    </row>
    <row r="921">
      <c r="C921" s="31"/>
      <c r="E921" s="31"/>
      <c r="F921" s="57"/>
      <c r="G921" s="58"/>
    </row>
    <row r="922">
      <c r="C922" s="31"/>
      <c r="E922" s="31"/>
      <c r="F922" s="57"/>
      <c r="G922" s="58"/>
    </row>
    <row r="923">
      <c r="C923" s="31"/>
      <c r="E923" s="31"/>
      <c r="F923" s="57"/>
      <c r="G923" s="58"/>
    </row>
    <row r="924">
      <c r="C924" s="31"/>
      <c r="E924" s="31"/>
      <c r="F924" s="57"/>
      <c r="G924" s="58"/>
    </row>
    <row r="925">
      <c r="C925" s="31"/>
      <c r="E925" s="31"/>
      <c r="F925" s="57"/>
      <c r="G925" s="58"/>
    </row>
    <row r="926">
      <c r="C926" s="31"/>
      <c r="E926" s="31"/>
      <c r="F926" s="57"/>
      <c r="G926" s="58"/>
    </row>
    <row r="927">
      <c r="C927" s="31"/>
      <c r="E927" s="31"/>
      <c r="F927" s="57"/>
      <c r="G927" s="58"/>
    </row>
    <row r="928">
      <c r="C928" s="31"/>
      <c r="E928" s="31"/>
      <c r="F928" s="57"/>
      <c r="G928" s="58"/>
    </row>
    <row r="929">
      <c r="C929" s="31"/>
      <c r="E929" s="31"/>
      <c r="F929" s="57"/>
      <c r="G929" s="58"/>
    </row>
    <row r="930">
      <c r="C930" s="31"/>
      <c r="E930" s="31"/>
      <c r="F930" s="57"/>
      <c r="G930" s="58"/>
    </row>
    <row r="931">
      <c r="C931" s="31"/>
      <c r="E931" s="31"/>
      <c r="F931" s="57"/>
      <c r="G931" s="58"/>
    </row>
    <row r="932">
      <c r="C932" s="31"/>
      <c r="E932" s="31"/>
      <c r="F932" s="57"/>
      <c r="G932" s="58"/>
    </row>
    <row r="933">
      <c r="C933" s="31"/>
      <c r="E933" s="31"/>
      <c r="F933" s="57"/>
      <c r="G933" s="58"/>
    </row>
    <row r="934">
      <c r="C934" s="31"/>
      <c r="E934" s="31"/>
      <c r="F934" s="57"/>
      <c r="G934" s="58"/>
    </row>
    <row r="935">
      <c r="C935" s="31"/>
      <c r="E935" s="31"/>
      <c r="F935" s="57"/>
      <c r="G935" s="58"/>
    </row>
    <row r="936">
      <c r="C936" s="31"/>
      <c r="E936" s="31"/>
      <c r="F936" s="57"/>
      <c r="G936" s="58"/>
    </row>
    <row r="937">
      <c r="C937" s="31"/>
      <c r="E937" s="31"/>
      <c r="F937" s="57"/>
      <c r="G937" s="58"/>
    </row>
    <row r="938">
      <c r="C938" s="31"/>
      <c r="E938" s="31"/>
      <c r="F938" s="57"/>
      <c r="G938" s="58"/>
    </row>
    <row r="939">
      <c r="C939" s="31"/>
      <c r="E939" s="31"/>
      <c r="F939" s="57"/>
      <c r="G939" s="58"/>
    </row>
    <row r="940">
      <c r="C940" s="31"/>
      <c r="E940" s="31"/>
      <c r="F940" s="57"/>
      <c r="G940" s="58"/>
    </row>
    <row r="941">
      <c r="C941" s="31"/>
      <c r="E941" s="31"/>
      <c r="F941" s="57"/>
      <c r="G941" s="58"/>
    </row>
    <row r="942">
      <c r="C942" s="31"/>
      <c r="E942" s="31"/>
      <c r="F942" s="57"/>
      <c r="G942" s="58"/>
    </row>
    <row r="943">
      <c r="C943" s="31"/>
      <c r="E943" s="31"/>
      <c r="F943" s="57"/>
      <c r="G943" s="58"/>
    </row>
    <row r="944">
      <c r="C944" s="31"/>
      <c r="E944" s="31"/>
      <c r="F944" s="57"/>
      <c r="G944" s="58"/>
    </row>
    <row r="945">
      <c r="C945" s="31"/>
      <c r="E945" s="31"/>
      <c r="F945" s="57"/>
      <c r="G945" s="58"/>
    </row>
    <row r="946">
      <c r="C946" s="31"/>
      <c r="E946" s="31"/>
      <c r="F946" s="57"/>
      <c r="G946" s="58"/>
    </row>
    <row r="947">
      <c r="C947" s="31"/>
      <c r="E947" s="31"/>
      <c r="F947" s="57"/>
      <c r="G947" s="58"/>
    </row>
    <row r="948">
      <c r="C948" s="31"/>
      <c r="E948" s="31"/>
      <c r="F948" s="57"/>
      <c r="G948" s="58"/>
    </row>
    <row r="949">
      <c r="C949" s="31"/>
      <c r="E949" s="31"/>
      <c r="F949" s="57"/>
      <c r="G949" s="58"/>
    </row>
    <row r="950">
      <c r="C950" s="31"/>
      <c r="E950" s="31"/>
      <c r="F950" s="57"/>
      <c r="G950" s="58"/>
    </row>
    <row r="951">
      <c r="C951" s="31"/>
      <c r="E951" s="31"/>
      <c r="F951" s="57"/>
      <c r="G951" s="58"/>
    </row>
    <row r="952">
      <c r="C952" s="31"/>
      <c r="E952" s="31"/>
      <c r="F952" s="57"/>
      <c r="G952" s="58"/>
    </row>
    <row r="953">
      <c r="C953" s="31"/>
      <c r="E953" s="31"/>
      <c r="F953" s="57"/>
      <c r="G953" s="58"/>
    </row>
    <row r="954">
      <c r="C954" s="31"/>
      <c r="E954" s="31"/>
      <c r="F954" s="57"/>
      <c r="G954" s="58"/>
    </row>
    <row r="955">
      <c r="C955" s="31"/>
      <c r="E955" s="31"/>
      <c r="F955" s="57"/>
      <c r="G955" s="58"/>
    </row>
    <row r="956">
      <c r="C956" s="31"/>
      <c r="E956" s="31"/>
      <c r="F956" s="57"/>
      <c r="G956" s="58"/>
    </row>
    <row r="957">
      <c r="C957" s="31"/>
      <c r="E957" s="31"/>
      <c r="F957" s="57"/>
      <c r="G957" s="58"/>
    </row>
    <row r="958">
      <c r="C958" s="31"/>
      <c r="E958" s="31"/>
      <c r="F958" s="57"/>
      <c r="G958" s="58"/>
    </row>
    <row r="959">
      <c r="C959" s="31"/>
      <c r="E959" s="31"/>
      <c r="F959" s="57"/>
      <c r="G959" s="58"/>
    </row>
    <row r="960">
      <c r="C960" s="31"/>
      <c r="E960" s="31"/>
      <c r="F960" s="57"/>
      <c r="G960" s="58"/>
    </row>
    <row r="961">
      <c r="C961" s="31"/>
      <c r="E961" s="31"/>
      <c r="F961" s="57"/>
      <c r="G961" s="58"/>
    </row>
    <row r="962">
      <c r="C962" s="31"/>
      <c r="E962" s="31"/>
      <c r="F962" s="57"/>
      <c r="G962" s="58"/>
    </row>
    <row r="963">
      <c r="C963" s="31"/>
      <c r="E963" s="31"/>
      <c r="F963" s="57"/>
      <c r="G963" s="58"/>
    </row>
    <row r="964">
      <c r="C964" s="31"/>
      <c r="E964" s="31"/>
      <c r="F964" s="57"/>
      <c r="G964" s="58"/>
    </row>
    <row r="965">
      <c r="C965" s="31"/>
      <c r="E965" s="31"/>
      <c r="F965" s="57"/>
      <c r="G965" s="58"/>
    </row>
    <row r="966">
      <c r="C966" s="31"/>
      <c r="E966" s="31"/>
      <c r="F966" s="57"/>
      <c r="G966" s="58"/>
    </row>
    <row r="967">
      <c r="C967" s="31"/>
      <c r="E967" s="31"/>
      <c r="F967" s="57"/>
      <c r="G967" s="58"/>
    </row>
    <row r="968">
      <c r="C968" s="31"/>
      <c r="E968" s="31"/>
      <c r="F968" s="57"/>
      <c r="G968" s="58"/>
    </row>
    <row r="969">
      <c r="C969" s="31"/>
      <c r="E969" s="31"/>
      <c r="F969" s="57"/>
      <c r="G969" s="58"/>
    </row>
    <row r="970">
      <c r="C970" s="31"/>
      <c r="E970" s="31"/>
      <c r="F970" s="57"/>
      <c r="G970" s="58"/>
    </row>
    <row r="971">
      <c r="C971" s="31"/>
      <c r="E971" s="31"/>
      <c r="F971" s="57"/>
      <c r="G971" s="58"/>
    </row>
    <row r="972">
      <c r="C972" s="31"/>
      <c r="E972" s="31"/>
      <c r="F972" s="57"/>
      <c r="G972" s="58"/>
    </row>
    <row r="973">
      <c r="C973" s="31"/>
      <c r="E973" s="31"/>
      <c r="F973" s="57"/>
      <c r="G973" s="58"/>
    </row>
    <row r="974">
      <c r="C974" s="31"/>
      <c r="E974" s="31"/>
      <c r="F974" s="57"/>
      <c r="G974" s="58"/>
    </row>
    <row r="975">
      <c r="C975" s="31"/>
      <c r="E975" s="31"/>
      <c r="F975" s="57"/>
      <c r="G975" s="58"/>
    </row>
    <row r="976">
      <c r="C976" s="31"/>
      <c r="E976" s="31"/>
      <c r="F976" s="57"/>
      <c r="G976" s="58"/>
    </row>
    <row r="977">
      <c r="C977" s="31"/>
      <c r="E977" s="31"/>
      <c r="F977" s="57"/>
      <c r="G977" s="58"/>
    </row>
    <row r="978">
      <c r="C978" s="31"/>
      <c r="E978" s="31"/>
      <c r="F978" s="57"/>
      <c r="G978" s="58"/>
    </row>
    <row r="979">
      <c r="C979" s="31"/>
      <c r="E979" s="31"/>
      <c r="F979" s="57"/>
      <c r="G979" s="58"/>
    </row>
    <row r="980">
      <c r="C980" s="31"/>
      <c r="E980" s="31"/>
      <c r="F980" s="57"/>
      <c r="G980" s="58"/>
    </row>
    <row r="981">
      <c r="C981" s="31"/>
      <c r="E981" s="31"/>
      <c r="F981" s="57"/>
      <c r="G981" s="58"/>
    </row>
    <row r="982">
      <c r="C982" s="31"/>
      <c r="E982" s="31"/>
      <c r="F982" s="57"/>
      <c r="G982" s="58"/>
    </row>
    <row r="983">
      <c r="C983" s="31"/>
      <c r="E983" s="31"/>
      <c r="F983" s="57"/>
      <c r="G983" s="58"/>
    </row>
    <row r="984">
      <c r="C984" s="31"/>
      <c r="E984" s="31"/>
      <c r="F984" s="57"/>
      <c r="G984" s="58"/>
    </row>
    <row r="985">
      <c r="C985" s="31"/>
      <c r="E985" s="31"/>
      <c r="F985" s="57"/>
      <c r="G985" s="58"/>
    </row>
    <row r="986">
      <c r="C986" s="31"/>
      <c r="E986" s="31"/>
      <c r="F986" s="57"/>
      <c r="G986" s="58"/>
    </row>
    <row r="987">
      <c r="C987" s="31"/>
      <c r="E987" s="31"/>
      <c r="F987" s="57"/>
      <c r="G987" s="58"/>
    </row>
    <row r="988">
      <c r="C988" s="31"/>
      <c r="E988" s="31"/>
      <c r="F988" s="57"/>
      <c r="G988" s="58"/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</hyperlinks>
  <drawing r:id="rId95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28.88"/>
    <col customWidth="1" min="3" max="3" width="42.13"/>
    <col customWidth="1" min="5" max="5" width="6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4" t="s">
        <v>1795</v>
      </c>
      <c r="B2" s="4" t="s">
        <v>1796</v>
      </c>
      <c r="C2" s="4" t="s">
        <v>1797</v>
      </c>
      <c r="D2" s="4" t="s">
        <v>12</v>
      </c>
      <c r="E2" s="3" t="s">
        <v>1798</v>
      </c>
    </row>
    <row r="3">
      <c r="A3" s="4" t="s">
        <v>1795</v>
      </c>
      <c r="B3" s="4" t="s">
        <v>1796</v>
      </c>
      <c r="C3" s="4" t="s">
        <v>1799</v>
      </c>
      <c r="D3" s="4" t="s">
        <v>14</v>
      </c>
      <c r="E3" s="10" t="s">
        <v>1800</v>
      </c>
    </row>
    <row r="4" ht="17.25" customHeight="1">
      <c r="A4" s="4" t="s">
        <v>1795</v>
      </c>
      <c r="B4" s="4" t="s">
        <v>1796</v>
      </c>
      <c r="C4" s="4" t="s">
        <v>1799</v>
      </c>
      <c r="D4" s="4" t="s">
        <v>12</v>
      </c>
      <c r="E4" s="3" t="s">
        <v>1801</v>
      </c>
    </row>
    <row r="5">
      <c r="A5" s="4" t="s">
        <v>1795</v>
      </c>
      <c r="B5" s="4" t="s">
        <v>1796</v>
      </c>
      <c r="C5" s="4" t="s">
        <v>1799</v>
      </c>
      <c r="D5" s="4" t="s">
        <v>12</v>
      </c>
      <c r="E5" s="3" t="s">
        <v>1802</v>
      </c>
    </row>
    <row r="6">
      <c r="A6" s="4" t="s">
        <v>1795</v>
      </c>
      <c r="B6" s="4" t="s">
        <v>1796</v>
      </c>
      <c r="C6" s="4" t="s">
        <v>1803</v>
      </c>
      <c r="D6" s="4" t="s">
        <v>425</v>
      </c>
      <c r="E6" s="3" t="s">
        <v>1804</v>
      </c>
    </row>
    <row r="7">
      <c r="A7" s="4" t="s">
        <v>1795</v>
      </c>
      <c r="B7" s="4" t="s">
        <v>1796</v>
      </c>
      <c r="C7" s="4" t="s">
        <v>1799</v>
      </c>
      <c r="D7" s="4" t="s">
        <v>8</v>
      </c>
      <c r="E7" s="6" t="s">
        <v>1805</v>
      </c>
    </row>
    <row r="8">
      <c r="A8" s="4" t="s">
        <v>1795</v>
      </c>
      <c r="B8" s="4" t="s">
        <v>1796</v>
      </c>
      <c r="C8" s="4" t="s">
        <v>1799</v>
      </c>
      <c r="D8" s="4" t="s">
        <v>60</v>
      </c>
      <c r="E8" s="10" t="s">
        <v>1806</v>
      </c>
    </row>
    <row r="9">
      <c r="A9" s="4" t="s">
        <v>1795</v>
      </c>
      <c r="B9" s="4" t="s">
        <v>1796</v>
      </c>
      <c r="C9" s="4" t="s">
        <v>1799</v>
      </c>
      <c r="D9" s="4" t="s">
        <v>23</v>
      </c>
      <c r="E9" s="10" t="s">
        <v>1807</v>
      </c>
    </row>
    <row r="10">
      <c r="A10" s="4" t="s">
        <v>1795</v>
      </c>
      <c r="B10" s="4" t="s">
        <v>1808</v>
      </c>
      <c r="C10" s="4" t="s">
        <v>1809</v>
      </c>
      <c r="D10" s="4" t="s">
        <v>14</v>
      </c>
      <c r="E10" s="10" t="s">
        <v>1810</v>
      </c>
    </row>
    <row r="11">
      <c r="A11" s="4" t="s">
        <v>1795</v>
      </c>
      <c r="B11" s="4" t="s">
        <v>1808</v>
      </c>
      <c r="C11" s="4" t="s">
        <v>1809</v>
      </c>
      <c r="D11" s="4" t="s">
        <v>19</v>
      </c>
      <c r="E11" s="6" t="s">
        <v>1811</v>
      </c>
    </row>
    <row r="12">
      <c r="A12" s="4" t="s">
        <v>1795</v>
      </c>
      <c r="B12" s="4" t="s">
        <v>1808</v>
      </c>
      <c r="C12" s="4" t="s">
        <v>1809</v>
      </c>
      <c r="D12" s="4" t="s">
        <v>12</v>
      </c>
      <c r="E12" s="3" t="s">
        <v>1812</v>
      </c>
    </row>
    <row r="13">
      <c r="A13" s="4" t="s">
        <v>1795</v>
      </c>
      <c r="B13" s="4" t="s">
        <v>1808</v>
      </c>
      <c r="C13" s="4" t="s">
        <v>1809</v>
      </c>
      <c r="D13" s="4" t="s">
        <v>8</v>
      </c>
      <c r="E13" s="6" t="s">
        <v>1813</v>
      </c>
    </row>
    <row r="14">
      <c r="A14" s="4" t="s">
        <v>1795</v>
      </c>
      <c r="B14" s="4" t="s">
        <v>1808</v>
      </c>
      <c r="C14" s="4" t="s">
        <v>1809</v>
      </c>
      <c r="D14" s="4" t="s">
        <v>23</v>
      </c>
      <c r="E14" s="10" t="s">
        <v>1814</v>
      </c>
    </row>
    <row r="15">
      <c r="A15" s="4" t="s">
        <v>1795</v>
      </c>
      <c r="B15" s="4" t="s">
        <v>1808</v>
      </c>
      <c r="C15" s="4" t="s">
        <v>1809</v>
      </c>
      <c r="D15" s="4" t="s">
        <v>60</v>
      </c>
      <c r="E15" s="6" t="s">
        <v>1815</v>
      </c>
    </row>
    <row r="16">
      <c r="A16" s="4" t="s">
        <v>1795</v>
      </c>
      <c r="B16" s="4" t="s">
        <v>1816</v>
      </c>
      <c r="C16" s="4" t="s">
        <v>1817</v>
      </c>
      <c r="D16" s="4" t="s">
        <v>14</v>
      </c>
      <c r="E16" s="10" t="s">
        <v>1818</v>
      </c>
    </row>
    <row r="17">
      <c r="A17" s="4" t="s">
        <v>1795</v>
      </c>
      <c r="B17" s="4" t="s">
        <v>1816</v>
      </c>
      <c r="C17" s="4" t="s">
        <v>1817</v>
      </c>
      <c r="D17" s="4" t="s">
        <v>19</v>
      </c>
      <c r="E17" s="6" t="s">
        <v>1819</v>
      </c>
    </row>
    <row r="18">
      <c r="A18" s="4" t="s">
        <v>1795</v>
      </c>
      <c r="B18" s="4" t="s">
        <v>1816</v>
      </c>
      <c r="C18" s="4" t="s">
        <v>1817</v>
      </c>
      <c r="D18" s="4" t="s">
        <v>12</v>
      </c>
      <c r="E18" s="3" t="s">
        <v>1820</v>
      </c>
    </row>
    <row r="19">
      <c r="A19" s="4" t="s">
        <v>1795</v>
      </c>
      <c r="B19" s="4" t="s">
        <v>1816</v>
      </c>
      <c r="C19" s="4" t="s">
        <v>1817</v>
      </c>
      <c r="D19" s="4" t="s">
        <v>23</v>
      </c>
      <c r="E19" s="3" t="s">
        <v>1821</v>
      </c>
    </row>
    <row r="20">
      <c r="A20" s="4" t="s">
        <v>1795</v>
      </c>
      <c r="B20" s="4" t="s">
        <v>1822</v>
      </c>
      <c r="C20" s="4" t="s">
        <v>1823</v>
      </c>
      <c r="D20" s="4" t="s">
        <v>14</v>
      </c>
      <c r="E20" s="10" t="s">
        <v>1824</v>
      </c>
    </row>
    <row r="21">
      <c r="A21" s="4" t="s">
        <v>1795</v>
      </c>
      <c r="B21" s="4" t="s">
        <v>1822</v>
      </c>
      <c r="C21" s="4" t="s">
        <v>1823</v>
      </c>
      <c r="D21" s="4" t="s">
        <v>60</v>
      </c>
      <c r="E21" s="10" t="s">
        <v>1825</v>
      </c>
    </row>
    <row r="22">
      <c r="A22" s="4" t="s">
        <v>1795</v>
      </c>
      <c r="B22" s="4" t="s">
        <v>1822</v>
      </c>
      <c r="C22" s="4" t="s">
        <v>1823</v>
      </c>
      <c r="D22" s="4" t="s">
        <v>19</v>
      </c>
      <c r="E22" s="3" t="s">
        <v>1826</v>
      </c>
    </row>
    <row r="23">
      <c r="A23" s="4" t="s">
        <v>1795</v>
      </c>
      <c r="B23" s="4" t="s">
        <v>1822</v>
      </c>
      <c r="C23" s="4" t="s">
        <v>1823</v>
      </c>
      <c r="D23" s="4" t="s">
        <v>12</v>
      </c>
      <c r="E23" s="3" t="s">
        <v>1827</v>
      </c>
    </row>
    <row r="24">
      <c r="A24" s="4" t="s">
        <v>1795</v>
      </c>
      <c r="B24" s="4" t="s">
        <v>1822</v>
      </c>
      <c r="C24" s="4" t="s">
        <v>1823</v>
      </c>
      <c r="D24" s="4" t="s">
        <v>23</v>
      </c>
      <c r="E24" s="10" t="s">
        <v>1828</v>
      </c>
    </row>
    <row r="25">
      <c r="A25" s="4" t="s">
        <v>1795</v>
      </c>
      <c r="B25" s="4" t="s">
        <v>1822</v>
      </c>
      <c r="C25" s="4" t="s">
        <v>1823</v>
      </c>
      <c r="D25" s="4" t="s">
        <v>1829</v>
      </c>
      <c r="E25" s="6" t="s">
        <v>1830</v>
      </c>
    </row>
    <row r="26">
      <c r="A26" s="4" t="s">
        <v>1795</v>
      </c>
      <c r="B26" s="4" t="s">
        <v>1831</v>
      </c>
      <c r="C26" s="4" t="s">
        <v>1832</v>
      </c>
      <c r="D26" s="4" t="s">
        <v>12</v>
      </c>
      <c r="E26" s="3" t="s">
        <v>1833</v>
      </c>
    </row>
    <row r="27">
      <c r="A27" s="4" t="s">
        <v>1795</v>
      </c>
      <c r="B27" s="4" t="s">
        <v>1831</v>
      </c>
      <c r="C27" s="4" t="s">
        <v>1832</v>
      </c>
      <c r="D27" s="4" t="s">
        <v>425</v>
      </c>
      <c r="E27" s="10" t="s">
        <v>1834</v>
      </c>
    </row>
    <row r="28">
      <c r="A28" s="4" t="s">
        <v>1795</v>
      </c>
      <c r="B28" s="4" t="s">
        <v>1831</v>
      </c>
      <c r="C28" s="4" t="s">
        <v>1835</v>
      </c>
      <c r="D28" s="4" t="s">
        <v>12</v>
      </c>
      <c r="E28" s="10" t="s">
        <v>1836</v>
      </c>
    </row>
    <row r="29">
      <c r="A29" s="4" t="s">
        <v>1795</v>
      </c>
      <c r="B29" s="4" t="s">
        <v>1831</v>
      </c>
      <c r="C29" s="4" t="s">
        <v>1837</v>
      </c>
      <c r="D29" s="4" t="s">
        <v>19</v>
      </c>
      <c r="E29" s="10" t="s">
        <v>1838</v>
      </c>
    </row>
    <row r="30">
      <c r="A30" s="4" t="s">
        <v>1795</v>
      </c>
      <c r="B30" s="4" t="s">
        <v>1831</v>
      </c>
      <c r="C30" s="4" t="s">
        <v>1839</v>
      </c>
      <c r="D30" s="4" t="s">
        <v>14</v>
      </c>
      <c r="E30" s="5" t="s">
        <v>1840</v>
      </c>
    </row>
    <row r="31">
      <c r="A31" s="4" t="s">
        <v>1795</v>
      </c>
      <c r="B31" s="4" t="s">
        <v>1831</v>
      </c>
      <c r="C31" s="4" t="s">
        <v>1839</v>
      </c>
      <c r="D31" s="4" t="s">
        <v>19</v>
      </c>
      <c r="E31" s="3" t="s">
        <v>1841</v>
      </c>
    </row>
    <row r="32">
      <c r="A32" s="4" t="s">
        <v>1795</v>
      </c>
      <c r="B32" s="4" t="s">
        <v>1831</v>
      </c>
      <c r="C32" s="4" t="s">
        <v>1842</v>
      </c>
      <c r="D32" s="4" t="s">
        <v>14</v>
      </c>
      <c r="E32" s="6" t="s">
        <v>1843</v>
      </c>
    </row>
    <row r="33">
      <c r="A33" s="4" t="s">
        <v>1795</v>
      </c>
      <c r="B33" s="4" t="s">
        <v>1831</v>
      </c>
      <c r="C33" s="4" t="s">
        <v>1842</v>
      </c>
      <c r="D33" s="4" t="s">
        <v>19</v>
      </c>
      <c r="E33" s="6" t="s">
        <v>1844</v>
      </c>
    </row>
    <row r="34">
      <c r="A34" s="4" t="s">
        <v>1795</v>
      </c>
      <c r="B34" s="4" t="s">
        <v>1831</v>
      </c>
      <c r="C34" s="4" t="s">
        <v>1845</v>
      </c>
      <c r="D34" s="4" t="s">
        <v>14</v>
      </c>
      <c r="E34" s="6" t="s">
        <v>1846</v>
      </c>
    </row>
    <row r="35">
      <c r="A35" s="4" t="s">
        <v>1795</v>
      </c>
      <c r="B35" s="4" t="s">
        <v>1831</v>
      </c>
      <c r="C35" s="4" t="s">
        <v>1845</v>
      </c>
      <c r="D35" s="4" t="s">
        <v>60</v>
      </c>
      <c r="E35" s="3" t="s">
        <v>1847</v>
      </c>
    </row>
    <row r="36">
      <c r="A36" s="4" t="s">
        <v>1795</v>
      </c>
      <c r="B36" s="4" t="s">
        <v>1831</v>
      </c>
      <c r="C36" s="4" t="s">
        <v>1845</v>
      </c>
      <c r="D36" s="4" t="s">
        <v>19</v>
      </c>
      <c r="E36" s="3" t="s">
        <v>1848</v>
      </c>
    </row>
    <row r="37">
      <c r="A37" s="4" t="s">
        <v>1795</v>
      </c>
      <c r="B37" s="4" t="s">
        <v>1831</v>
      </c>
      <c r="C37" s="4" t="s">
        <v>1845</v>
      </c>
      <c r="D37" s="4" t="s">
        <v>12</v>
      </c>
      <c r="E37" s="3" t="s">
        <v>1849</v>
      </c>
    </row>
    <row r="38">
      <c r="A38" s="4" t="s">
        <v>1795</v>
      </c>
      <c r="B38" s="4" t="s">
        <v>1831</v>
      </c>
      <c r="C38" s="4" t="s">
        <v>1845</v>
      </c>
      <c r="D38" s="4" t="s">
        <v>23</v>
      </c>
      <c r="E38" s="10" t="s">
        <v>1850</v>
      </c>
    </row>
    <row r="39">
      <c r="A39" s="4" t="s">
        <v>1795</v>
      </c>
      <c r="B39" s="4" t="s">
        <v>1831</v>
      </c>
      <c r="C39" s="4" t="s">
        <v>1845</v>
      </c>
      <c r="D39" s="4" t="s">
        <v>8</v>
      </c>
      <c r="E39" s="6" t="s">
        <v>1851</v>
      </c>
    </row>
    <row r="40">
      <c r="A40" s="4" t="s">
        <v>1795</v>
      </c>
      <c r="B40" s="4" t="s">
        <v>1852</v>
      </c>
      <c r="C40" s="4" t="s">
        <v>1853</v>
      </c>
      <c r="D40" s="4" t="s">
        <v>12</v>
      </c>
      <c r="E40" s="3" t="s">
        <v>1854</v>
      </c>
    </row>
    <row r="41">
      <c r="A41" s="4" t="s">
        <v>1795</v>
      </c>
      <c r="B41" s="4" t="s">
        <v>1852</v>
      </c>
      <c r="C41" s="4" t="s">
        <v>1855</v>
      </c>
      <c r="D41" s="4" t="s">
        <v>14</v>
      </c>
      <c r="E41" s="6" t="s">
        <v>1856</v>
      </c>
    </row>
    <row r="42">
      <c r="A42" s="4" t="s">
        <v>1795</v>
      </c>
      <c r="B42" s="4" t="s">
        <v>1852</v>
      </c>
      <c r="C42" s="4" t="s">
        <v>1855</v>
      </c>
      <c r="D42" s="4" t="s">
        <v>12</v>
      </c>
      <c r="E42" s="3" t="s">
        <v>1857</v>
      </c>
    </row>
    <row r="43">
      <c r="A43" s="4" t="s">
        <v>1795</v>
      </c>
      <c r="B43" s="4" t="s">
        <v>1852</v>
      </c>
      <c r="C43" s="4" t="s">
        <v>1855</v>
      </c>
      <c r="D43" s="4" t="s">
        <v>19</v>
      </c>
      <c r="E43" s="6" t="s">
        <v>1858</v>
      </c>
    </row>
    <row r="44">
      <c r="A44" s="4" t="s">
        <v>1795</v>
      </c>
      <c r="B44" s="4" t="s">
        <v>1852</v>
      </c>
      <c r="C44" s="4" t="s">
        <v>1859</v>
      </c>
      <c r="D44" s="4" t="s">
        <v>12</v>
      </c>
      <c r="E44" s="3" t="s">
        <v>1860</v>
      </c>
    </row>
    <row r="45">
      <c r="A45" s="4" t="s">
        <v>1795</v>
      </c>
      <c r="B45" s="4" t="s">
        <v>1852</v>
      </c>
      <c r="C45" s="4" t="s">
        <v>1859</v>
      </c>
      <c r="D45" s="4" t="s">
        <v>14</v>
      </c>
      <c r="E45" s="6" t="s">
        <v>1861</v>
      </c>
    </row>
    <row r="46">
      <c r="A46" s="4" t="s">
        <v>1795</v>
      </c>
      <c r="B46" s="4" t="s">
        <v>1852</v>
      </c>
      <c r="C46" s="4" t="s">
        <v>1862</v>
      </c>
      <c r="D46" s="4" t="s">
        <v>14</v>
      </c>
      <c r="E46" s="6" t="s">
        <v>1863</v>
      </c>
    </row>
    <row r="47">
      <c r="A47" s="4" t="s">
        <v>1795</v>
      </c>
      <c r="B47" s="4" t="s">
        <v>1852</v>
      </c>
      <c r="C47" s="4" t="s">
        <v>1862</v>
      </c>
      <c r="D47" s="4" t="s">
        <v>19</v>
      </c>
      <c r="E47" s="6" t="s">
        <v>1864</v>
      </c>
    </row>
    <row r="48">
      <c r="A48" s="4" t="s">
        <v>1795</v>
      </c>
      <c r="B48" s="4" t="s">
        <v>1852</v>
      </c>
      <c r="C48" s="4" t="s">
        <v>1862</v>
      </c>
      <c r="D48" s="4" t="s">
        <v>8</v>
      </c>
      <c r="E48" s="6" t="s">
        <v>1865</v>
      </c>
    </row>
    <row r="49">
      <c r="A49" s="4" t="s">
        <v>1795</v>
      </c>
      <c r="B49" s="4" t="s">
        <v>1852</v>
      </c>
      <c r="C49" s="4" t="s">
        <v>1862</v>
      </c>
      <c r="D49" s="4" t="s">
        <v>12</v>
      </c>
      <c r="E49" s="3" t="s">
        <v>1866</v>
      </c>
    </row>
    <row r="50">
      <c r="A50" s="4" t="s">
        <v>1795</v>
      </c>
      <c r="B50" s="4" t="s">
        <v>1852</v>
      </c>
      <c r="C50" s="4" t="s">
        <v>1862</v>
      </c>
      <c r="D50" s="4" t="s">
        <v>23</v>
      </c>
      <c r="E50" s="6" t="s">
        <v>1867</v>
      </c>
    </row>
    <row r="51">
      <c r="A51" s="4" t="s">
        <v>1795</v>
      </c>
      <c r="B51" s="4" t="s">
        <v>1852</v>
      </c>
      <c r="C51" s="4" t="s">
        <v>1868</v>
      </c>
      <c r="D51" s="4" t="s">
        <v>14</v>
      </c>
      <c r="E51" s="6" t="s">
        <v>1869</v>
      </c>
    </row>
    <row r="52">
      <c r="A52" s="4" t="s">
        <v>1795</v>
      </c>
      <c r="B52" s="4" t="s">
        <v>1852</v>
      </c>
      <c r="C52" s="4" t="s">
        <v>1868</v>
      </c>
      <c r="D52" s="4" t="s">
        <v>19</v>
      </c>
      <c r="E52" s="3" t="s">
        <v>1870</v>
      </c>
    </row>
    <row r="53">
      <c r="A53" s="4" t="s">
        <v>1795</v>
      </c>
      <c r="B53" s="4" t="s">
        <v>1852</v>
      </c>
      <c r="C53" s="4" t="s">
        <v>1868</v>
      </c>
      <c r="D53" s="4" t="s">
        <v>12</v>
      </c>
      <c r="E53" s="3" t="s">
        <v>1871</v>
      </c>
    </row>
    <row r="54">
      <c r="A54" s="4" t="s">
        <v>1795</v>
      </c>
      <c r="B54" s="4" t="s">
        <v>1852</v>
      </c>
      <c r="C54" s="4" t="s">
        <v>1872</v>
      </c>
      <c r="D54" s="4" t="s">
        <v>14</v>
      </c>
      <c r="E54" s="6" t="s">
        <v>1873</v>
      </c>
    </row>
    <row r="55">
      <c r="A55" s="4" t="s">
        <v>1795</v>
      </c>
      <c r="B55" s="4" t="s">
        <v>1852</v>
      </c>
      <c r="C55" s="4" t="s">
        <v>1872</v>
      </c>
      <c r="D55" s="4" t="s">
        <v>12</v>
      </c>
      <c r="E55" s="3" t="s">
        <v>1874</v>
      </c>
    </row>
    <row r="56">
      <c r="A56" s="4" t="s">
        <v>1795</v>
      </c>
      <c r="B56" s="4" t="s">
        <v>1852</v>
      </c>
      <c r="C56" s="4" t="s">
        <v>1872</v>
      </c>
      <c r="D56" s="4" t="s">
        <v>19</v>
      </c>
      <c r="E56" s="6" t="s">
        <v>1875</v>
      </c>
    </row>
    <row r="57">
      <c r="A57" s="4" t="s">
        <v>1795</v>
      </c>
      <c r="B57" s="4" t="s">
        <v>1852</v>
      </c>
      <c r="C57" s="4" t="s">
        <v>1876</v>
      </c>
      <c r="D57" s="4" t="s">
        <v>14</v>
      </c>
      <c r="E57" s="6" t="s">
        <v>1877</v>
      </c>
    </row>
    <row r="58">
      <c r="A58" s="4" t="s">
        <v>1795</v>
      </c>
      <c r="B58" s="4" t="s">
        <v>1852</v>
      </c>
      <c r="C58" s="4" t="s">
        <v>1876</v>
      </c>
      <c r="D58" s="4" t="s">
        <v>12</v>
      </c>
      <c r="E58" s="3" t="s">
        <v>1878</v>
      </c>
    </row>
    <row r="59">
      <c r="A59" s="4" t="s">
        <v>1795</v>
      </c>
      <c r="B59" s="4" t="s">
        <v>1852</v>
      </c>
      <c r="C59" s="4" t="s">
        <v>1879</v>
      </c>
      <c r="D59" s="4" t="s">
        <v>14</v>
      </c>
      <c r="E59" s="6" t="s">
        <v>1880</v>
      </c>
    </row>
    <row r="60">
      <c r="A60" s="4" t="s">
        <v>1795</v>
      </c>
      <c r="B60" s="4" t="s">
        <v>1852</v>
      </c>
      <c r="C60" s="4" t="s">
        <v>1879</v>
      </c>
      <c r="D60" s="4" t="s">
        <v>12</v>
      </c>
      <c r="E60" s="3" t="s">
        <v>1881</v>
      </c>
    </row>
    <row r="61">
      <c r="A61" s="4" t="s">
        <v>1795</v>
      </c>
      <c r="B61" s="4" t="s">
        <v>1852</v>
      </c>
      <c r="C61" s="4" t="s">
        <v>1882</v>
      </c>
      <c r="D61" s="4" t="s">
        <v>14</v>
      </c>
      <c r="E61" s="6" t="s">
        <v>1883</v>
      </c>
    </row>
    <row r="62">
      <c r="A62" s="4" t="s">
        <v>1795</v>
      </c>
      <c r="B62" s="4" t="s">
        <v>1852</v>
      </c>
      <c r="C62" s="4" t="s">
        <v>1882</v>
      </c>
      <c r="D62" s="4" t="s">
        <v>60</v>
      </c>
      <c r="E62" s="3" t="s">
        <v>1884</v>
      </c>
    </row>
    <row r="63">
      <c r="A63" s="4" t="s">
        <v>1795</v>
      </c>
      <c r="B63" s="4" t="s">
        <v>1852</v>
      </c>
      <c r="C63" s="4" t="s">
        <v>1882</v>
      </c>
      <c r="D63" s="4" t="s">
        <v>19</v>
      </c>
      <c r="E63" s="3" t="s">
        <v>1885</v>
      </c>
    </row>
    <row r="64">
      <c r="A64" s="4" t="s">
        <v>1795</v>
      </c>
      <c r="B64" s="4" t="s">
        <v>1852</v>
      </c>
      <c r="C64" s="4" t="s">
        <v>1882</v>
      </c>
      <c r="D64" s="4" t="s">
        <v>8</v>
      </c>
      <c r="E64" s="6" t="s">
        <v>1886</v>
      </c>
    </row>
    <row r="65">
      <c r="A65" s="4" t="s">
        <v>1795</v>
      </c>
      <c r="B65" s="4" t="s">
        <v>1852</v>
      </c>
      <c r="C65" s="4" t="s">
        <v>1882</v>
      </c>
      <c r="D65" s="4" t="s">
        <v>12</v>
      </c>
      <c r="E65" s="3" t="s">
        <v>1887</v>
      </c>
    </row>
    <row r="66">
      <c r="A66" s="4" t="s">
        <v>1795</v>
      </c>
      <c r="B66" s="4" t="s">
        <v>1852</v>
      </c>
      <c r="C66" s="4" t="s">
        <v>1882</v>
      </c>
      <c r="D66" s="4" t="s">
        <v>23</v>
      </c>
      <c r="E66" s="10" t="s">
        <v>1888</v>
      </c>
    </row>
    <row r="67">
      <c r="A67" s="4" t="s">
        <v>1795</v>
      </c>
      <c r="B67" s="4" t="s">
        <v>1889</v>
      </c>
      <c r="C67" s="4" t="s">
        <v>1890</v>
      </c>
      <c r="D67" s="4" t="s">
        <v>12</v>
      </c>
      <c r="E67" s="10" t="s">
        <v>1891</v>
      </c>
    </row>
    <row r="68">
      <c r="A68" s="4" t="s">
        <v>1795</v>
      </c>
      <c r="B68" s="4" t="s">
        <v>1889</v>
      </c>
      <c r="C68" s="4" t="s">
        <v>1892</v>
      </c>
      <c r="D68" s="4" t="s">
        <v>14</v>
      </c>
      <c r="E68" s="10" t="s">
        <v>1893</v>
      </c>
    </row>
    <row r="69">
      <c r="A69" s="4" t="s">
        <v>1795</v>
      </c>
      <c r="B69" s="4" t="s">
        <v>1889</v>
      </c>
      <c r="C69" s="4" t="s">
        <v>1892</v>
      </c>
      <c r="D69" s="4" t="s">
        <v>60</v>
      </c>
      <c r="E69" s="3" t="s">
        <v>1894</v>
      </c>
    </row>
    <row r="70">
      <c r="A70" s="4" t="s">
        <v>1795</v>
      </c>
      <c r="B70" s="4" t="s">
        <v>1889</v>
      </c>
      <c r="C70" s="4" t="s">
        <v>1892</v>
      </c>
      <c r="D70" s="4" t="s">
        <v>19</v>
      </c>
      <c r="E70" s="3" t="s">
        <v>1895</v>
      </c>
    </row>
    <row r="71">
      <c r="A71" s="4" t="s">
        <v>1795</v>
      </c>
      <c r="B71" s="4" t="s">
        <v>1889</v>
      </c>
      <c r="C71" s="4" t="s">
        <v>1892</v>
      </c>
      <c r="D71" s="4" t="s">
        <v>8</v>
      </c>
      <c r="E71" s="6" t="s">
        <v>1896</v>
      </c>
    </row>
    <row r="72">
      <c r="A72" s="4" t="s">
        <v>1795</v>
      </c>
      <c r="B72" s="4" t="s">
        <v>1889</v>
      </c>
      <c r="C72" s="4" t="s">
        <v>1892</v>
      </c>
      <c r="D72" s="4" t="s">
        <v>12</v>
      </c>
      <c r="E72" s="3" t="s">
        <v>1897</v>
      </c>
    </row>
    <row r="73">
      <c r="A73" s="4" t="s">
        <v>1795</v>
      </c>
      <c r="B73" s="4" t="s">
        <v>1889</v>
      </c>
      <c r="C73" s="4" t="s">
        <v>1892</v>
      </c>
      <c r="D73" s="4" t="s">
        <v>23</v>
      </c>
      <c r="E73" s="10" t="s">
        <v>1898</v>
      </c>
    </row>
    <row r="74">
      <c r="A74" s="4" t="s">
        <v>1795</v>
      </c>
      <c r="B74" s="4" t="s">
        <v>1899</v>
      </c>
      <c r="C74" s="4" t="s">
        <v>1900</v>
      </c>
      <c r="D74" s="4" t="s">
        <v>14</v>
      </c>
      <c r="E74" s="10" t="s">
        <v>1901</v>
      </c>
    </row>
    <row r="75">
      <c r="A75" s="4" t="s">
        <v>1795</v>
      </c>
      <c r="B75" s="4" t="s">
        <v>1899</v>
      </c>
      <c r="C75" s="4" t="s">
        <v>1900</v>
      </c>
      <c r="D75" s="4" t="s">
        <v>19</v>
      </c>
      <c r="E75" s="3" t="s">
        <v>1902</v>
      </c>
    </row>
    <row r="76">
      <c r="A76" s="4" t="s">
        <v>1795</v>
      </c>
      <c r="B76" s="4" t="s">
        <v>1899</v>
      </c>
      <c r="C76" s="4" t="s">
        <v>1900</v>
      </c>
      <c r="D76" s="4" t="s">
        <v>8</v>
      </c>
      <c r="E76" s="6" t="s">
        <v>1903</v>
      </c>
    </row>
    <row r="77">
      <c r="A77" s="4" t="s">
        <v>1795</v>
      </c>
      <c r="B77" s="4" t="s">
        <v>1899</v>
      </c>
      <c r="C77" s="4" t="s">
        <v>1900</v>
      </c>
      <c r="D77" s="4" t="s">
        <v>12</v>
      </c>
      <c r="E77" s="3" t="s">
        <v>1904</v>
      </c>
    </row>
    <row r="78">
      <c r="A78" s="4" t="s">
        <v>1795</v>
      </c>
      <c r="B78" s="4" t="s">
        <v>1899</v>
      </c>
      <c r="C78" s="4" t="s">
        <v>1900</v>
      </c>
      <c r="D78" s="4" t="s">
        <v>23</v>
      </c>
      <c r="E78" s="10" t="s">
        <v>1905</v>
      </c>
    </row>
    <row r="79">
      <c r="A79" s="4" t="s">
        <v>1795</v>
      </c>
      <c r="B79" s="4" t="s">
        <v>1899</v>
      </c>
      <c r="C79" s="4" t="s">
        <v>1906</v>
      </c>
      <c r="D79" s="4" t="s">
        <v>425</v>
      </c>
      <c r="E79" s="6" t="s">
        <v>1907</v>
      </c>
    </row>
    <row r="80">
      <c r="A80" s="4" t="s">
        <v>1795</v>
      </c>
      <c r="B80" s="4" t="s">
        <v>1908</v>
      </c>
      <c r="C80" s="4" t="s">
        <v>1909</v>
      </c>
      <c r="D80" s="4" t="s">
        <v>12</v>
      </c>
      <c r="E80" s="10" t="s">
        <v>1910</v>
      </c>
    </row>
    <row r="81">
      <c r="A81" s="4" t="s">
        <v>1795</v>
      </c>
      <c r="B81" s="4" t="s">
        <v>1908</v>
      </c>
      <c r="C81" s="4" t="s">
        <v>1911</v>
      </c>
      <c r="D81" s="4" t="s">
        <v>14</v>
      </c>
      <c r="E81" s="10" t="s">
        <v>1912</v>
      </c>
    </row>
    <row r="82">
      <c r="A82" s="4" t="s">
        <v>1795</v>
      </c>
      <c r="B82" s="4" t="s">
        <v>1908</v>
      </c>
      <c r="C82" s="4" t="s">
        <v>1911</v>
      </c>
      <c r="D82" s="4" t="s">
        <v>19</v>
      </c>
      <c r="E82" s="6" t="s">
        <v>1913</v>
      </c>
    </row>
    <row r="83">
      <c r="A83" s="4" t="s">
        <v>1795</v>
      </c>
      <c r="B83" s="4" t="s">
        <v>1908</v>
      </c>
      <c r="C83" s="4" t="s">
        <v>1911</v>
      </c>
      <c r="D83" s="4" t="s">
        <v>12</v>
      </c>
      <c r="E83" s="3" t="s">
        <v>1914</v>
      </c>
    </row>
    <row r="84">
      <c r="A84" s="4" t="s">
        <v>1795</v>
      </c>
      <c r="B84" s="4" t="s">
        <v>1908</v>
      </c>
      <c r="C84" s="4" t="s">
        <v>1911</v>
      </c>
      <c r="D84" s="4" t="s">
        <v>23</v>
      </c>
      <c r="E84" s="10" t="s">
        <v>1915</v>
      </c>
    </row>
    <row r="85">
      <c r="A85" s="4" t="s">
        <v>1795</v>
      </c>
      <c r="B85" s="4" t="s">
        <v>1908</v>
      </c>
      <c r="C85" s="4" t="s">
        <v>1911</v>
      </c>
      <c r="D85" s="4" t="s">
        <v>8</v>
      </c>
      <c r="E85" s="6" t="s">
        <v>1916</v>
      </c>
    </row>
    <row r="86">
      <c r="A86" s="4" t="s">
        <v>1795</v>
      </c>
      <c r="B86" s="4" t="s">
        <v>1908</v>
      </c>
      <c r="C86" s="4" t="s">
        <v>1911</v>
      </c>
      <c r="D86" s="4" t="s">
        <v>60</v>
      </c>
      <c r="E86" s="10" t="s">
        <v>1917</v>
      </c>
    </row>
    <row r="87">
      <c r="A87" s="4" t="s">
        <v>1795</v>
      </c>
      <c r="B87" s="4" t="s">
        <v>1918</v>
      </c>
      <c r="C87" s="4" t="s">
        <v>1919</v>
      </c>
      <c r="D87" s="4" t="s">
        <v>14</v>
      </c>
      <c r="E87" s="10" t="s">
        <v>1920</v>
      </c>
    </row>
    <row r="88">
      <c r="A88" s="4" t="s">
        <v>1795</v>
      </c>
      <c r="B88" s="4" t="s">
        <v>1918</v>
      </c>
      <c r="C88" s="4" t="s">
        <v>1919</v>
      </c>
      <c r="D88" s="4" t="s">
        <v>19</v>
      </c>
      <c r="E88" s="6" t="s">
        <v>1921</v>
      </c>
    </row>
    <row r="89">
      <c r="A89" s="4" t="s">
        <v>1795</v>
      </c>
      <c r="B89" s="4" t="s">
        <v>1918</v>
      </c>
      <c r="C89" s="4" t="s">
        <v>1919</v>
      </c>
      <c r="D89" s="4" t="s">
        <v>12</v>
      </c>
      <c r="E89" s="3" t="s">
        <v>1922</v>
      </c>
    </row>
    <row r="90">
      <c r="A90" s="4" t="s">
        <v>1795</v>
      </c>
      <c r="B90" s="4" t="s">
        <v>1923</v>
      </c>
      <c r="C90" s="4" t="s">
        <v>1924</v>
      </c>
      <c r="D90" s="4" t="s">
        <v>14</v>
      </c>
      <c r="E90" s="10" t="s">
        <v>1925</v>
      </c>
    </row>
    <row r="91">
      <c r="A91" s="4" t="s">
        <v>1795</v>
      </c>
      <c r="B91" s="4" t="s">
        <v>1923</v>
      </c>
      <c r="C91" s="4" t="s">
        <v>1924</v>
      </c>
      <c r="D91" s="4" t="s">
        <v>19</v>
      </c>
      <c r="E91" s="6" t="s">
        <v>1926</v>
      </c>
    </row>
    <row r="92">
      <c r="A92" s="4" t="s">
        <v>1795</v>
      </c>
      <c r="B92" s="4" t="s">
        <v>1927</v>
      </c>
      <c r="C92" s="4" t="s">
        <v>1928</v>
      </c>
      <c r="D92" s="4" t="s">
        <v>14</v>
      </c>
      <c r="E92" s="10" t="s">
        <v>1929</v>
      </c>
    </row>
    <row r="93">
      <c r="A93" s="4" t="s">
        <v>1795</v>
      </c>
      <c r="B93" s="4" t="s">
        <v>1927</v>
      </c>
      <c r="C93" s="4" t="s">
        <v>1928</v>
      </c>
      <c r="D93" s="4" t="s">
        <v>19</v>
      </c>
      <c r="E93" s="10" t="s">
        <v>1930</v>
      </c>
    </row>
    <row r="94">
      <c r="A94" s="4" t="s">
        <v>1795</v>
      </c>
      <c r="B94" s="4" t="s">
        <v>1927</v>
      </c>
      <c r="C94" s="4" t="s">
        <v>1928</v>
      </c>
      <c r="D94" s="4" t="s">
        <v>12</v>
      </c>
      <c r="E94" s="3" t="s">
        <v>1931</v>
      </c>
    </row>
    <row r="95">
      <c r="A95" s="4" t="s">
        <v>1795</v>
      </c>
      <c r="B95" s="4" t="s">
        <v>1927</v>
      </c>
      <c r="C95" s="4" t="s">
        <v>1928</v>
      </c>
      <c r="D95" s="4" t="s">
        <v>23</v>
      </c>
      <c r="E95" s="10" t="s">
        <v>1932</v>
      </c>
    </row>
    <row r="96">
      <c r="A96" s="4" t="s">
        <v>1795</v>
      </c>
      <c r="B96" s="4" t="s">
        <v>1933</v>
      </c>
      <c r="C96" s="4" t="s">
        <v>1934</v>
      </c>
      <c r="D96" s="4" t="s">
        <v>14</v>
      </c>
      <c r="E96" s="10" t="s">
        <v>1935</v>
      </c>
    </row>
    <row r="97">
      <c r="A97" s="4" t="s">
        <v>1795</v>
      </c>
      <c r="B97" s="4" t="s">
        <v>1933</v>
      </c>
      <c r="C97" s="4" t="s">
        <v>1934</v>
      </c>
      <c r="D97" s="4" t="s">
        <v>19</v>
      </c>
      <c r="E97" s="6" t="s">
        <v>1936</v>
      </c>
    </row>
    <row r="98">
      <c r="A98" s="4" t="s">
        <v>1795</v>
      </c>
      <c r="B98" s="4" t="s">
        <v>1933</v>
      </c>
      <c r="C98" s="4" t="s">
        <v>1934</v>
      </c>
      <c r="D98" s="4" t="s">
        <v>12</v>
      </c>
      <c r="E98" s="3" t="s">
        <v>1937</v>
      </c>
    </row>
    <row r="99">
      <c r="A99" s="4" t="s">
        <v>1795</v>
      </c>
      <c r="B99" s="4" t="s">
        <v>1933</v>
      </c>
      <c r="C99" s="4" t="s">
        <v>1934</v>
      </c>
      <c r="D99" s="4" t="s">
        <v>23</v>
      </c>
      <c r="E99" s="10" t="s">
        <v>1938</v>
      </c>
    </row>
    <row r="100">
      <c r="A100" s="4" t="s">
        <v>1795</v>
      </c>
      <c r="B100" s="4" t="s">
        <v>1939</v>
      </c>
      <c r="C100" s="4" t="s">
        <v>1940</v>
      </c>
      <c r="D100" s="4" t="s">
        <v>12</v>
      </c>
      <c r="E100" s="3" t="s">
        <v>1941</v>
      </c>
    </row>
    <row r="101">
      <c r="A101" s="4" t="s">
        <v>1795</v>
      </c>
      <c r="B101" s="4" t="s">
        <v>1939</v>
      </c>
      <c r="C101" s="4" t="s">
        <v>1942</v>
      </c>
      <c r="D101" s="4" t="s">
        <v>14</v>
      </c>
      <c r="E101" s="10" t="s">
        <v>1943</v>
      </c>
    </row>
    <row r="102">
      <c r="A102" s="4" t="s">
        <v>1795</v>
      </c>
      <c r="B102" s="4" t="s">
        <v>1939</v>
      </c>
      <c r="C102" s="4" t="s">
        <v>1942</v>
      </c>
      <c r="D102" s="4" t="s">
        <v>19</v>
      </c>
      <c r="E102" s="3" t="s">
        <v>1944</v>
      </c>
    </row>
    <row r="103">
      <c r="A103" s="4" t="s">
        <v>1795</v>
      </c>
      <c r="B103" s="4" t="s">
        <v>1939</v>
      </c>
      <c r="C103" s="4" t="s">
        <v>1942</v>
      </c>
      <c r="D103" s="4" t="s">
        <v>12</v>
      </c>
      <c r="E103" s="3" t="s">
        <v>1945</v>
      </c>
    </row>
    <row r="104">
      <c r="A104" s="4" t="s">
        <v>1795</v>
      </c>
      <c r="B104" s="4" t="s">
        <v>1939</v>
      </c>
      <c r="C104" s="4" t="s">
        <v>1942</v>
      </c>
      <c r="D104" s="4" t="s">
        <v>23</v>
      </c>
      <c r="E104" s="10" t="s">
        <v>1946</v>
      </c>
    </row>
    <row r="105">
      <c r="A105" s="4" t="s">
        <v>1795</v>
      </c>
      <c r="B105" s="4" t="s">
        <v>1939</v>
      </c>
      <c r="C105" s="4" t="s">
        <v>1942</v>
      </c>
      <c r="D105" s="4" t="s">
        <v>8</v>
      </c>
      <c r="E105" s="6" t="s">
        <v>1947</v>
      </c>
    </row>
    <row r="106">
      <c r="A106" s="4" t="s">
        <v>1795</v>
      </c>
      <c r="B106" s="4" t="s">
        <v>1939</v>
      </c>
      <c r="C106" s="4" t="s">
        <v>1942</v>
      </c>
      <c r="D106" s="4" t="s">
        <v>60</v>
      </c>
      <c r="E106" s="3" t="s">
        <v>1948</v>
      </c>
    </row>
    <row r="107">
      <c r="A107" s="4" t="s">
        <v>1795</v>
      </c>
      <c r="B107" s="4" t="s">
        <v>1949</v>
      </c>
      <c r="C107" s="4" t="s">
        <v>1950</v>
      </c>
      <c r="D107" s="4" t="s">
        <v>14</v>
      </c>
      <c r="E107" s="6" t="s">
        <v>1951</v>
      </c>
    </row>
    <row r="108">
      <c r="A108" s="4" t="s">
        <v>1795</v>
      </c>
      <c r="B108" s="4" t="s">
        <v>1949</v>
      </c>
      <c r="C108" s="4" t="s">
        <v>1950</v>
      </c>
      <c r="D108" s="4" t="s">
        <v>19</v>
      </c>
      <c r="E108" s="10" t="s">
        <v>1952</v>
      </c>
    </row>
    <row r="109">
      <c r="A109" s="4" t="s">
        <v>1795</v>
      </c>
      <c r="B109" s="4" t="s">
        <v>1949</v>
      </c>
      <c r="C109" s="4" t="s">
        <v>1950</v>
      </c>
      <c r="D109" s="4" t="s">
        <v>12</v>
      </c>
      <c r="E109" s="10" t="s">
        <v>1953</v>
      </c>
    </row>
    <row r="110">
      <c r="A110" s="4" t="s">
        <v>1795</v>
      </c>
      <c r="B110" s="4" t="s">
        <v>1949</v>
      </c>
      <c r="C110" s="4" t="s">
        <v>1950</v>
      </c>
      <c r="D110" s="4" t="s">
        <v>23</v>
      </c>
      <c r="E110" s="6" t="s">
        <v>1954</v>
      </c>
    </row>
    <row r="111">
      <c r="A111" s="4" t="s">
        <v>1795</v>
      </c>
      <c r="B111" s="4" t="s">
        <v>1949</v>
      </c>
      <c r="C111" s="4" t="s">
        <v>1950</v>
      </c>
      <c r="D111" s="4" t="s">
        <v>60</v>
      </c>
      <c r="E111" s="10" t="s">
        <v>1955</v>
      </c>
    </row>
    <row r="112">
      <c r="A112" s="4" t="s">
        <v>1795</v>
      </c>
      <c r="B112" s="4" t="s">
        <v>1956</v>
      </c>
      <c r="C112" s="4" t="s">
        <v>1957</v>
      </c>
      <c r="D112" s="4" t="s">
        <v>12</v>
      </c>
      <c r="E112" s="10" t="s">
        <v>1958</v>
      </c>
    </row>
    <row r="113">
      <c r="A113" s="4" t="s">
        <v>1795</v>
      </c>
      <c r="B113" s="4" t="s">
        <v>1956</v>
      </c>
      <c r="C113" s="4" t="s">
        <v>1959</v>
      </c>
      <c r="D113" s="4" t="s">
        <v>14</v>
      </c>
      <c r="E113" s="10" t="s">
        <v>1960</v>
      </c>
    </row>
    <row r="114">
      <c r="A114" s="4" t="s">
        <v>1795</v>
      </c>
      <c r="B114" s="4" t="s">
        <v>1956</v>
      </c>
      <c r="C114" s="4" t="s">
        <v>1959</v>
      </c>
      <c r="D114" s="4" t="s">
        <v>19</v>
      </c>
      <c r="E114" s="3" t="s">
        <v>1961</v>
      </c>
    </row>
    <row r="115">
      <c r="A115" s="4" t="s">
        <v>1795</v>
      </c>
      <c r="B115" s="4" t="s">
        <v>1956</v>
      </c>
      <c r="C115" s="4" t="s">
        <v>1959</v>
      </c>
      <c r="D115" s="4" t="s">
        <v>12</v>
      </c>
      <c r="E115" s="10" t="s">
        <v>1962</v>
      </c>
    </row>
    <row r="116">
      <c r="A116" s="4" t="s">
        <v>1795</v>
      </c>
      <c r="B116" s="4" t="s">
        <v>1956</v>
      </c>
      <c r="C116" s="4" t="s">
        <v>1959</v>
      </c>
      <c r="D116" s="4" t="s">
        <v>23</v>
      </c>
      <c r="E116" s="10" t="s">
        <v>1963</v>
      </c>
    </row>
    <row r="117">
      <c r="A117" s="4" t="s">
        <v>1795</v>
      </c>
      <c r="B117" s="4" t="s">
        <v>1956</v>
      </c>
      <c r="C117" s="4" t="s">
        <v>1959</v>
      </c>
      <c r="D117" s="4" t="s">
        <v>60</v>
      </c>
      <c r="E117" s="10" t="s">
        <v>1964</v>
      </c>
    </row>
    <row r="118">
      <c r="A118" s="4" t="s">
        <v>1795</v>
      </c>
      <c r="B118" s="4" t="s">
        <v>1965</v>
      </c>
      <c r="C118" s="4" t="s">
        <v>1966</v>
      </c>
      <c r="D118" s="4" t="s">
        <v>14</v>
      </c>
      <c r="E118" s="3" t="s">
        <v>1967</v>
      </c>
    </row>
    <row r="119">
      <c r="A119" s="4" t="s">
        <v>1795</v>
      </c>
      <c r="B119" s="4" t="s">
        <v>1965</v>
      </c>
      <c r="C119" s="4" t="s">
        <v>1968</v>
      </c>
      <c r="D119" s="4" t="s">
        <v>14</v>
      </c>
      <c r="E119" s="10" t="s">
        <v>1969</v>
      </c>
    </row>
    <row r="120">
      <c r="A120" s="4" t="s">
        <v>1795</v>
      </c>
      <c r="B120" s="4" t="s">
        <v>1965</v>
      </c>
      <c r="C120" s="4" t="s">
        <v>1968</v>
      </c>
      <c r="D120" s="4" t="s">
        <v>12</v>
      </c>
      <c r="E120" s="3" t="s">
        <v>1970</v>
      </c>
    </row>
    <row r="121">
      <c r="A121" s="4" t="s">
        <v>1795</v>
      </c>
      <c r="B121" s="4" t="s">
        <v>1965</v>
      </c>
      <c r="C121" s="4" t="s">
        <v>1968</v>
      </c>
      <c r="D121" s="4" t="s">
        <v>60</v>
      </c>
      <c r="E121" s="6" t="s">
        <v>1971</v>
      </c>
    </row>
    <row r="122">
      <c r="A122" s="4" t="s">
        <v>1795</v>
      </c>
      <c r="B122" s="4" t="s">
        <v>1972</v>
      </c>
      <c r="C122" s="4" t="s">
        <v>1973</v>
      </c>
      <c r="D122" s="4" t="s">
        <v>12</v>
      </c>
      <c r="E122" s="3" t="s">
        <v>1974</v>
      </c>
    </row>
    <row r="123">
      <c r="A123" s="4" t="s">
        <v>1795</v>
      </c>
      <c r="B123" s="4" t="s">
        <v>1972</v>
      </c>
      <c r="C123" s="4" t="s">
        <v>1975</v>
      </c>
      <c r="D123" s="4" t="s">
        <v>14</v>
      </c>
      <c r="E123" s="10" t="s">
        <v>1976</v>
      </c>
    </row>
    <row r="124">
      <c r="A124" s="4" t="s">
        <v>1795</v>
      </c>
      <c r="B124" s="4" t="s">
        <v>1972</v>
      </c>
      <c r="C124" s="4" t="s">
        <v>1975</v>
      </c>
      <c r="D124" s="4" t="s">
        <v>19</v>
      </c>
      <c r="E124" s="10" t="s">
        <v>1977</v>
      </c>
    </row>
    <row r="125">
      <c r="A125" s="4" t="s">
        <v>1795</v>
      </c>
      <c r="B125" s="4" t="s">
        <v>1972</v>
      </c>
      <c r="C125" s="4" t="s">
        <v>1975</v>
      </c>
      <c r="D125" s="4" t="s">
        <v>12</v>
      </c>
      <c r="E125" s="10" t="s">
        <v>1978</v>
      </c>
    </row>
    <row r="126">
      <c r="A126" s="4" t="s">
        <v>1795</v>
      </c>
      <c r="B126" s="4" t="s">
        <v>1972</v>
      </c>
      <c r="C126" s="4" t="s">
        <v>1975</v>
      </c>
      <c r="D126" s="4" t="s">
        <v>23</v>
      </c>
      <c r="E126" s="10" t="s">
        <v>1979</v>
      </c>
    </row>
    <row r="127">
      <c r="A127" s="4" t="s">
        <v>1795</v>
      </c>
      <c r="B127" s="4" t="s">
        <v>1972</v>
      </c>
      <c r="C127" s="4" t="s">
        <v>1975</v>
      </c>
      <c r="D127" s="4" t="s">
        <v>8</v>
      </c>
      <c r="E127" s="10" t="s">
        <v>1980</v>
      </c>
    </row>
    <row r="128">
      <c r="A128" s="4" t="s">
        <v>1795</v>
      </c>
      <c r="B128" s="4" t="s">
        <v>1972</v>
      </c>
      <c r="C128" s="4" t="s">
        <v>1975</v>
      </c>
      <c r="D128" s="4" t="s">
        <v>60</v>
      </c>
      <c r="E128" s="6" t="s">
        <v>1981</v>
      </c>
    </row>
    <row r="129">
      <c r="A129" s="4" t="s">
        <v>1795</v>
      </c>
      <c r="B129" s="4" t="s">
        <v>1982</v>
      </c>
      <c r="C129" s="4" t="s">
        <v>1983</v>
      </c>
      <c r="D129" s="4" t="s">
        <v>12</v>
      </c>
      <c r="E129" s="10" t="s">
        <v>1984</v>
      </c>
    </row>
    <row r="130">
      <c r="A130" s="4" t="s">
        <v>1795</v>
      </c>
      <c r="B130" s="4" t="s">
        <v>1982</v>
      </c>
      <c r="C130" s="4" t="s">
        <v>1985</v>
      </c>
      <c r="D130" s="4" t="s">
        <v>14</v>
      </c>
      <c r="E130" s="3" t="s">
        <v>1986</v>
      </c>
    </row>
    <row r="131">
      <c r="A131" s="4" t="s">
        <v>1795</v>
      </c>
      <c r="B131" s="4" t="s">
        <v>1982</v>
      </c>
      <c r="C131" s="4" t="s">
        <v>1985</v>
      </c>
      <c r="D131" s="4" t="s">
        <v>19</v>
      </c>
      <c r="E131" s="3" t="s">
        <v>1987</v>
      </c>
    </row>
    <row r="132">
      <c r="A132" s="4" t="s">
        <v>1795</v>
      </c>
      <c r="B132" s="14" t="s">
        <v>1982</v>
      </c>
      <c r="C132" s="4" t="s">
        <v>1985</v>
      </c>
      <c r="D132" s="4" t="s">
        <v>12</v>
      </c>
      <c r="E132" s="25" t="s">
        <v>1988</v>
      </c>
    </row>
    <row r="133">
      <c r="A133" s="4" t="s">
        <v>1795</v>
      </c>
      <c r="B133" s="4" t="s">
        <v>1982</v>
      </c>
      <c r="C133" s="4" t="s">
        <v>1985</v>
      </c>
      <c r="D133" s="4" t="s">
        <v>23</v>
      </c>
      <c r="E133" s="3" t="s">
        <v>1989</v>
      </c>
    </row>
    <row r="134">
      <c r="A134" s="4" t="s">
        <v>1795</v>
      </c>
      <c r="B134" s="4" t="s">
        <v>1982</v>
      </c>
      <c r="C134" s="4" t="s">
        <v>1985</v>
      </c>
      <c r="D134" s="4" t="s">
        <v>60</v>
      </c>
      <c r="E134" s="13" t="s">
        <v>1990</v>
      </c>
    </row>
    <row r="135">
      <c r="A135" s="4" t="s">
        <v>1795</v>
      </c>
      <c r="B135" s="4" t="s">
        <v>1991</v>
      </c>
      <c r="C135" s="4" t="s">
        <v>1992</v>
      </c>
      <c r="D135" s="4" t="s">
        <v>12</v>
      </c>
      <c r="E135" s="3" t="s">
        <v>1993</v>
      </c>
    </row>
    <row r="136">
      <c r="A136" s="4" t="s">
        <v>1795</v>
      </c>
      <c r="B136" s="4" t="s">
        <v>1991</v>
      </c>
      <c r="C136" s="4" t="s">
        <v>1994</v>
      </c>
      <c r="D136" s="4" t="s">
        <v>425</v>
      </c>
      <c r="E136" s="10" t="s">
        <v>1995</v>
      </c>
    </row>
    <row r="137">
      <c r="A137" s="4" t="s">
        <v>1795</v>
      </c>
      <c r="B137" s="4" t="s">
        <v>1991</v>
      </c>
      <c r="C137" s="4" t="s">
        <v>1996</v>
      </c>
      <c r="D137" s="4" t="s">
        <v>14</v>
      </c>
      <c r="E137" s="3" t="s">
        <v>1997</v>
      </c>
    </row>
    <row r="138">
      <c r="A138" s="4" t="s">
        <v>1795</v>
      </c>
      <c r="B138" s="4" t="s">
        <v>1991</v>
      </c>
      <c r="C138" s="4" t="s">
        <v>1996</v>
      </c>
      <c r="D138" s="4" t="s">
        <v>12</v>
      </c>
      <c r="E138" s="3" t="s">
        <v>1998</v>
      </c>
    </row>
    <row r="139">
      <c r="A139" s="4" t="s">
        <v>1795</v>
      </c>
      <c r="B139" s="4" t="s">
        <v>1991</v>
      </c>
      <c r="C139" s="4" t="s">
        <v>1996</v>
      </c>
      <c r="D139" s="4" t="s">
        <v>23</v>
      </c>
      <c r="E139" s="3" t="s">
        <v>1999</v>
      </c>
    </row>
    <row r="140">
      <c r="A140" s="4" t="s">
        <v>1795</v>
      </c>
      <c r="B140" s="4" t="s">
        <v>1991</v>
      </c>
      <c r="C140" s="4" t="s">
        <v>2000</v>
      </c>
      <c r="D140" s="4" t="s">
        <v>14</v>
      </c>
      <c r="E140" s="10" t="s">
        <v>2001</v>
      </c>
    </row>
    <row r="141">
      <c r="A141" s="4" t="s">
        <v>1795</v>
      </c>
      <c r="B141" s="4" t="s">
        <v>1991</v>
      </c>
      <c r="C141" s="4" t="s">
        <v>2000</v>
      </c>
      <c r="D141" s="4" t="s">
        <v>12</v>
      </c>
      <c r="E141" s="10" t="s">
        <v>2002</v>
      </c>
    </row>
    <row r="142">
      <c r="A142" s="4" t="s">
        <v>1795</v>
      </c>
      <c r="B142" s="4" t="s">
        <v>1991</v>
      </c>
      <c r="C142" s="4" t="s">
        <v>2000</v>
      </c>
      <c r="D142" s="4" t="s">
        <v>23</v>
      </c>
      <c r="E142" s="3" t="s">
        <v>2003</v>
      </c>
    </row>
    <row r="143">
      <c r="A143" s="4" t="s">
        <v>1795</v>
      </c>
      <c r="B143" s="4" t="s">
        <v>1991</v>
      </c>
      <c r="C143" s="4" t="s">
        <v>2000</v>
      </c>
      <c r="D143" s="4" t="s">
        <v>19</v>
      </c>
      <c r="E143" s="13" t="s">
        <v>2004</v>
      </c>
    </row>
    <row r="144">
      <c r="A144" s="4" t="s">
        <v>1795</v>
      </c>
      <c r="B144" s="4" t="s">
        <v>1991</v>
      </c>
      <c r="C144" s="4" t="s">
        <v>2005</v>
      </c>
      <c r="D144" s="4" t="s">
        <v>14</v>
      </c>
      <c r="E144" s="3" t="s">
        <v>2006</v>
      </c>
    </row>
    <row r="145">
      <c r="A145" s="4" t="s">
        <v>1795</v>
      </c>
      <c r="B145" s="4" t="s">
        <v>1991</v>
      </c>
      <c r="C145" s="4" t="s">
        <v>2005</v>
      </c>
      <c r="D145" s="4" t="s">
        <v>12</v>
      </c>
      <c r="E145" s="3" t="s">
        <v>2007</v>
      </c>
    </row>
    <row r="146">
      <c r="A146" s="4" t="s">
        <v>1795</v>
      </c>
      <c r="B146" s="4" t="s">
        <v>1991</v>
      </c>
      <c r="C146" s="4" t="s">
        <v>2005</v>
      </c>
      <c r="D146" s="4" t="s">
        <v>23</v>
      </c>
      <c r="E146" s="10" t="s">
        <v>2008</v>
      </c>
    </row>
    <row r="147">
      <c r="A147" s="4" t="s">
        <v>1795</v>
      </c>
      <c r="B147" s="4" t="s">
        <v>1991</v>
      </c>
      <c r="C147" s="4" t="s">
        <v>2005</v>
      </c>
      <c r="D147" s="4" t="s">
        <v>425</v>
      </c>
      <c r="E147" s="10" t="s">
        <v>2009</v>
      </c>
    </row>
    <row r="148">
      <c r="A148" s="4" t="s">
        <v>1795</v>
      </c>
      <c r="B148" s="4" t="s">
        <v>1991</v>
      </c>
      <c r="C148" s="4" t="s">
        <v>2010</v>
      </c>
      <c r="D148" s="4" t="s">
        <v>14</v>
      </c>
      <c r="E148" s="10" t="s">
        <v>2011</v>
      </c>
    </row>
    <row r="149">
      <c r="A149" s="4" t="s">
        <v>1795</v>
      </c>
      <c r="B149" s="4" t="s">
        <v>1991</v>
      </c>
      <c r="C149" s="4" t="s">
        <v>2010</v>
      </c>
      <c r="D149" s="4" t="s">
        <v>12</v>
      </c>
      <c r="E149" s="10" t="s">
        <v>2012</v>
      </c>
    </row>
    <row r="150">
      <c r="A150" s="4" t="s">
        <v>1795</v>
      </c>
      <c r="B150" s="4" t="s">
        <v>1991</v>
      </c>
      <c r="C150" s="4" t="s">
        <v>2010</v>
      </c>
      <c r="D150" s="4" t="s">
        <v>23</v>
      </c>
      <c r="E150" s="10" t="s">
        <v>2013</v>
      </c>
    </row>
    <row r="151">
      <c r="A151" s="4" t="s">
        <v>1795</v>
      </c>
      <c r="B151" s="4" t="s">
        <v>1991</v>
      </c>
      <c r="C151" s="4" t="s">
        <v>2014</v>
      </c>
      <c r="D151" s="4" t="s">
        <v>14</v>
      </c>
      <c r="E151" s="10" t="s">
        <v>2015</v>
      </c>
    </row>
    <row r="152">
      <c r="A152" s="4" t="s">
        <v>1795</v>
      </c>
      <c r="B152" s="4" t="s">
        <v>1991</v>
      </c>
      <c r="C152" s="4" t="s">
        <v>2014</v>
      </c>
      <c r="D152" s="4" t="s">
        <v>12</v>
      </c>
      <c r="E152" s="10" t="s">
        <v>2016</v>
      </c>
    </row>
    <row r="153">
      <c r="A153" s="4" t="s">
        <v>1795</v>
      </c>
      <c r="B153" s="4" t="s">
        <v>1991</v>
      </c>
      <c r="C153" s="4" t="s">
        <v>2017</v>
      </c>
      <c r="D153" s="4" t="s">
        <v>14</v>
      </c>
      <c r="E153" s="10" t="s">
        <v>2018</v>
      </c>
    </row>
    <row r="154">
      <c r="A154" s="4" t="s">
        <v>1795</v>
      </c>
      <c r="B154" s="4" t="s">
        <v>1991</v>
      </c>
      <c r="C154" s="4" t="s">
        <v>2017</v>
      </c>
      <c r="D154" s="4" t="s">
        <v>60</v>
      </c>
      <c r="E154" s="6" t="s">
        <v>2019</v>
      </c>
    </row>
    <row r="155">
      <c r="A155" s="4" t="s">
        <v>1795</v>
      </c>
      <c r="B155" s="4" t="s">
        <v>1991</v>
      </c>
      <c r="C155" s="4" t="s">
        <v>2017</v>
      </c>
      <c r="D155" s="4" t="s">
        <v>12</v>
      </c>
      <c r="E155" s="10" t="s">
        <v>2020</v>
      </c>
    </row>
    <row r="156">
      <c r="A156" s="4" t="s">
        <v>1795</v>
      </c>
      <c r="B156" s="4" t="s">
        <v>1991</v>
      </c>
      <c r="C156" s="4" t="s">
        <v>2017</v>
      </c>
      <c r="D156" s="4" t="s">
        <v>23</v>
      </c>
      <c r="E156" s="10" t="s">
        <v>2021</v>
      </c>
    </row>
    <row r="157">
      <c r="A157" s="4" t="s">
        <v>1795</v>
      </c>
      <c r="B157" s="4" t="s">
        <v>1991</v>
      </c>
      <c r="C157" s="4" t="s">
        <v>2022</v>
      </c>
      <c r="D157" s="4" t="s">
        <v>14</v>
      </c>
      <c r="E157" s="10" t="s">
        <v>2023</v>
      </c>
    </row>
    <row r="158">
      <c r="A158" s="4" t="s">
        <v>1795</v>
      </c>
      <c r="B158" s="4" t="s">
        <v>1991</v>
      </c>
      <c r="C158" s="4" t="s">
        <v>2022</v>
      </c>
      <c r="D158" s="4" t="s">
        <v>12</v>
      </c>
      <c r="E158" s="10" t="s">
        <v>2024</v>
      </c>
    </row>
    <row r="159">
      <c r="A159" s="4" t="s">
        <v>1795</v>
      </c>
      <c r="B159" s="4" t="s">
        <v>1991</v>
      </c>
      <c r="C159" s="4" t="s">
        <v>2025</v>
      </c>
      <c r="D159" s="4" t="s">
        <v>14</v>
      </c>
      <c r="E159" s="10" t="s">
        <v>2026</v>
      </c>
    </row>
    <row r="160">
      <c r="A160" s="4" t="s">
        <v>1795</v>
      </c>
      <c r="B160" s="4" t="s">
        <v>1991</v>
      </c>
      <c r="C160" s="4" t="s">
        <v>2025</v>
      </c>
      <c r="D160" s="4" t="s">
        <v>12</v>
      </c>
      <c r="E160" s="10" t="s">
        <v>2027</v>
      </c>
    </row>
    <row r="161">
      <c r="A161" s="4" t="s">
        <v>1795</v>
      </c>
      <c r="B161" s="4" t="s">
        <v>1991</v>
      </c>
      <c r="C161" s="4" t="s">
        <v>2028</v>
      </c>
      <c r="D161" s="4" t="s">
        <v>14</v>
      </c>
      <c r="E161" s="10" t="s">
        <v>2029</v>
      </c>
    </row>
    <row r="162">
      <c r="A162" s="4" t="s">
        <v>1795</v>
      </c>
      <c r="B162" s="4" t="s">
        <v>1991</v>
      </c>
      <c r="C162" s="4" t="s">
        <v>2028</v>
      </c>
      <c r="D162" s="4" t="s">
        <v>12</v>
      </c>
      <c r="E162" s="10" t="s">
        <v>2030</v>
      </c>
    </row>
    <row r="163">
      <c r="A163" s="4" t="s">
        <v>1795</v>
      </c>
      <c r="B163" s="4" t="s">
        <v>1991</v>
      </c>
      <c r="C163" s="4" t="s">
        <v>2028</v>
      </c>
      <c r="D163" s="4" t="s">
        <v>23</v>
      </c>
      <c r="E163" s="10" t="s">
        <v>2031</v>
      </c>
    </row>
    <row r="164">
      <c r="A164" s="4" t="s">
        <v>1795</v>
      </c>
      <c r="B164" s="4" t="s">
        <v>1991</v>
      </c>
      <c r="C164" s="4" t="s">
        <v>2032</v>
      </c>
      <c r="D164" s="4" t="s">
        <v>14</v>
      </c>
      <c r="E164" s="10" t="s">
        <v>2033</v>
      </c>
    </row>
    <row r="165">
      <c r="A165" s="4" t="s">
        <v>1795</v>
      </c>
      <c r="B165" s="4" t="s">
        <v>1991</v>
      </c>
      <c r="C165" s="4" t="s">
        <v>2032</v>
      </c>
      <c r="D165" s="4" t="s">
        <v>19</v>
      </c>
      <c r="E165" s="10" t="s">
        <v>2034</v>
      </c>
    </row>
    <row r="166">
      <c r="A166" s="4" t="s">
        <v>1795</v>
      </c>
      <c r="B166" s="4" t="s">
        <v>1991</v>
      </c>
      <c r="C166" s="4" t="s">
        <v>2032</v>
      </c>
      <c r="D166" s="4" t="s">
        <v>8</v>
      </c>
      <c r="E166" s="6" t="s">
        <v>2035</v>
      </c>
    </row>
    <row r="167">
      <c r="A167" s="4" t="s">
        <v>1795</v>
      </c>
      <c r="B167" s="4" t="s">
        <v>1991</v>
      </c>
      <c r="C167" s="4" t="s">
        <v>2032</v>
      </c>
      <c r="D167" s="4" t="s">
        <v>12</v>
      </c>
      <c r="E167" s="10" t="s">
        <v>2036</v>
      </c>
    </row>
    <row r="168">
      <c r="A168" s="4" t="s">
        <v>1795</v>
      </c>
      <c r="B168" s="4" t="s">
        <v>1991</v>
      </c>
      <c r="C168" s="4" t="s">
        <v>2032</v>
      </c>
      <c r="D168" s="4" t="s">
        <v>12</v>
      </c>
      <c r="E168" s="10" t="s">
        <v>2037</v>
      </c>
    </row>
    <row r="169">
      <c r="A169" s="4" t="s">
        <v>1795</v>
      </c>
      <c r="B169" s="4" t="s">
        <v>1991</v>
      </c>
      <c r="C169" s="4" t="s">
        <v>2032</v>
      </c>
      <c r="D169" s="4" t="s">
        <v>23</v>
      </c>
      <c r="E169" s="10" t="s">
        <v>2038</v>
      </c>
    </row>
    <row r="170">
      <c r="A170" s="4" t="s">
        <v>1795</v>
      </c>
      <c r="B170" s="4" t="s">
        <v>1991</v>
      </c>
      <c r="C170" s="4" t="s">
        <v>2032</v>
      </c>
      <c r="D170" s="4" t="s">
        <v>425</v>
      </c>
      <c r="E170" s="6" t="s">
        <v>2039</v>
      </c>
    </row>
    <row r="171">
      <c r="A171" s="4" t="s">
        <v>1795</v>
      </c>
      <c r="B171" s="4" t="s">
        <v>1991</v>
      </c>
      <c r="C171" s="4" t="s">
        <v>2032</v>
      </c>
      <c r="D171" s="4" t="s">
        <v>425</v>
      </c>
      <c r="E171" s="6" t="s">
        <v>2040</v>
      </c>
    </row>
    <row r="172">
      <c r="A172" s="4" t="s">
        <v>1795</v>
      </c>
      <c r="B172" s="4" t="s">
        <v>1991</v>
      </c>
      <c r="C172" s="4" t="s">
        <v>2032</v>
      </c>
      <c r="D172" s="4" t="s">
        <v>60</v>
      </c>
      <c r="E172" s="5" t="s">
        <v>2041</v>
      </c>
    </row>
    <row r="173">
      <c r="A173" s="4" t="s">
        <v>1795</v>
      </c>
      <c r="B173" s="4" t="s">
        <v>2042</v>
      </c>
      <c r="C173" s="4" t="s">
        <v>2043</v>
      </c>
      <c r="D173" s="4" t="s">
        <v>12</v>
      </c>
      <c r="E173" s="10" t="s">
        <v>2044</v>
      </c>
    </row>
    <row r="174">
      <c r="A174" s="4" t="s">
        <v>1795</v>
      </c>
      <c r="B174" s="4" t="s">
        <v>2042</v>
      </c>
      <c r="C174" s="4" t="s">
        <v>2045</v>
      </c>
      <c r="D174" s="4" t="s">
        <v>14</v>
      </c>
      <c r="E174" s="10" t="s">
        <v>2046</v>
      </c>
    </row>
    <row r="175">
      <c r="A175" s="4" t="s">
        <v>1795</v>
      </c>
      <c r="B175" s="4" t="s">
        <v>2042</v>
      </c>
      <c r="C175" s="4" t="s">
        <v>2045</v>
      </c>
      <c r="D175" s="4" t="s">
        <v>19</v>
      </c>
      <c r="E175" s="10" t="s">
        <v>2047</v>
      </c>
    </row>
    <row r="176">
      <c r="A176" s="4" t="s">
        <v>1795</v>
      </c>
      <c r="B176" s="4" t="s">
        <v>2042</v>
      </c>
      <c r="C176" s="4" t="s">
        <v>2045</v>
      </c>
      <c r="D176" s="4" t="s">
        <v>12</v>
      </c>
      <c r="E176" s="10" t="s">
        <v>2048</v>
      </c>
    </row>
    <row r="177">
      <c r="A177" s="4" t="s">
        <v>1795</v>
      </c>
      <c r="B177" s="4" t="s">
        <v>2042</v>
      </c>
      <c r="C177" s="4" t="s">
        <v>2045</v>
      </c>
      <c r="D177" s="4" t="s">
        <v>8</v>
      </c>
      <c r="E177" s="6" t="s">
        <v>2049</v>
      </c>
    </row>
    <row r="178">
      <c r="A178" s="4" t="s">
        <v>1795</v>
      </c>
      <c r="B178" s="4" t="s">
        <v>2042</v>
      </c>
      <c r="C178" s="4" t="s">
        <v>2045</v>
      </c>
      <c r="D178" s="4" t="s">
        <v>60</v>
      </c>
      <c r="E178" s="10" t="s">
        <v>2050</v>
      </c>
    </row>
    <row r="179">
      <c r="A179" s="4" t="s">
        <v>1795</v>
      </c>
      <c r="B179" s="4" t="s">
        <v>2051</v>
      </c>
      <c r="C179" s="4" t="s">
        <v>2052</v>
      </c>
      <c r="D179" s="4" t="s">
        <v>12</v>
      </c>
      <c r="E179" s="10" t="s">
        <v>2053</v>
      </c>
    </row>
    <row r="180">
      <c r="A180" s="4" t="s">
        <v>1795</v>
      </c>
      <c r="B180" s="4" t="s">
        <v>2051</v>
      </c>
      <c r="C180" s="4" t="s">
        <v>2054</v>
      </c>
      <c r="D180" s="4" t="s">
        <v>14</v>
      </c>
      <c r="E180" s="10" t="s">
        <v>2055</v>
      </c>
    </row>
    <row r="181">
      <c r="A181" s="4" t="s">
        <v>1795</v>
      </c>
      <c r="B181" s="4" t="s">
        <v>2051</v>
      </c>
      <c r="C181" s="4" t="s">
        <v>2054</v>
      </c>
      <c r="D181" s="4" t="s">
        <v>19</v>
      </c>
      <c r="E181" s="10" t="s">
        <v>2056</v>
      </c>
    </row>
    <row r="182">
      <c r="A182" s="4" t="s">
        <v>1795</v>
      </c>
      <c r="B182" s="4" t="s">
        <v>2051</v>
      </c>
      <c r="C182" s="4" t="s">
        <v>2054</v>
      </c>
      <c r="D182" s="4" t="s">
        <v>12</v>
      </c>
      <c r="E182" s="10" t="s">
        <v>2057</v>
      </c>
    </row>
    <row r="183">
      <c r="A183" s="4" t="s">
        <v>1795</v>
      </c>
      <c r="B183" s="4" t="s">
        <v>2051</v>
      </c>
      <c r="C183" s="4" t="s">
        <v>2054</v>
      </c>
      <c r="D183" s="4" t="s">
        <v>8</v>
      </c>
      <c r="E183" s="6" t="s">
        <v>2058</v>
      </c>
    </row>
    <row r="184">
      <c r="A184" s="4" t="s">
        <v>1795</v>
      </c>
      <c r="B184" s="4" t="s">
        <v>2051</v>
      </c>
      <c r="C184" s="4" t="s">
        <v>2054</v>
      </c>
      <c r="D184" s="4" t="s">
        <v>60</v>
      </c>
      <c r="E184" s="10" t="s">
        <v>2059</v>
      </c>
    </row>
    <row r="185">
      <c r="A185" s="4" t="s">
        <v>1795</v>
      </c>
      <c r="B185" s="4" t="s">
        <v>2060</v>
      </c>
      <c r="C185" s="4" t="s">
        <v>2061</v>
      </c>
      <c r="D185" s="4" t="s">
        <v>12</v>
      </c>
      <c r="E185" s="10" t="s">
        <v>2062</v>
      </c>
    </row>
    <row r="186">
      <c r="A186" s="4" t="s">
        <v>1795</v>
      </c>
      <c r="B186" s="4" t="s">
        <v>2060</v>
      </c>
      <c r="C186" s="4" t="s">
        <v>2063</v>
      </c>
      <c r="D186" s="4" t="s">
        <v>14</v>
      </c>
      <c r="E186" s="10" t="s">
        <v>2064</v>
      </c>
    </row>
    <row r="187">
      <c r="A187" s="4" t="s">
        <v>1795</v>
      </c>
      <c r="B187" s="4" t="s">
        <v>2060</v>
      </c>
      <c r="C187" s="4" t="s">
        <v>2063</v>
      </c>
      <c r="D187" s="4" t="s">
        <v>19</v>
      </c>
      <c r="E187" s="10" t="s">
        <v>2065</v>
      </c>
    </row>
    <row r="188">
      <c r="A188" s="4" t="s">
        <v>1795</v>
      </c>
      <c r="B188" s="4" t="s">
        <v>2060</v>
      </c>
      <c r="C188" s="4" t="s">
        <v>2063</v>
      </c>
      <c r="D188" s="4" t="s">
        <v>12</v>
      </c>
      <c r="E188" s="10" t="s">
        <v>2066</v>
      </c>
    </row>
    <row r="189">
      <c r="A189" s="4" t="s">
        <v>1795</v>
      </c>
      <c r="B189" s="4" t="s">
        <v>2060</v>
      </c>
      <c r="C189" s="4" t="s">
        <v>2063</v>
      </c>
      <c r="D189" s="4" t="s">
        <v>23</v>
      </c>
      <c r="E189" s="10" t="s">
        <v>2067</v>
      </c>
    </row>
    <row r="190">
      <c r="A190" s="4" t="s">
        <v>1795</v>
      </c>
      <c r="B190" s="4" t="s">
        <v>2060</v>
      </c>
      <c r="C190" s="4" t="s">
        <v>2063</v>
      </c>
      <c r="D190" s="4" t="s">
        <v>60</v>
      </c>
      <c r="E190" s="6" t="s">
        <v>2068</v>
      </c>
    </row>
    <row r="191">
      <c r="A191" s="4" t="s">
        <v>1795</v>
      </c>
      <c r="B191" s="4" t="s">
        <v>2069</v>
      </c>
      <c r="C191" s="4" t="s">
        <v>2070</v>
      </c>
      <c r="D191" s="4" t="s">
        <v>14</v>
      </c>
      <c r="E191" s="10" t="s">
        <v>2071</v>
      </c>
    </row>
    <row r="192">
      <c r="A192" s="4" t="s">
        <v>1795</v>
      </c>
      <c r="B192" s="4" t="s">
        <v>2069</v>
      </c>
      <c r="C192" s="4" t="s">
        <v>2072</v>
      </c>
      <c r="D192" s="4" t="s">
        <v>12</v>
      </c>
      <c r="E192" s="10" t="s">
        <v>2073</v>
      </c>
    </row>
    <row r="193">
      <c r="A193" s="4" t="s">
        <v>1795</v>
      </c>
      <c r="B193" s="4" t="s">
        <v>2069</v>
      </c>
      <c r="C193" s="4" t="s">
        <v>2074</v>
      </c>
      <c r="D193" s="4" t="s">
        <v>14</v>
      </c>
      <c r="E193" s="6" t="s">
        <v>2075</v>
      </c>
    </row>
    <row r="194">
      <c r="A194" s="4" t="s">
        <v>1795</v>
      </c>
      <c r="B194" s="4" t="s">
        <v>2069</v>
      </c>
      <c r="C194" s="4" t="s">
        <v>2074</v>
      </c>
      <c r="D194" s="4" t="s">
        <v>19</v>
      </c>
      <c r="E194" s="10" t="s">
        <v>2076</v>
      </c>
    </row>
    <row r="195">
      <c r="A195" s="4" t="s">
        <v>1795</v>
      </c>
      <c r="B195" s="4" t="s">
        <v>2069</v>
      </c>
      <c r="C195" s="4" t="s">
        <v>2074</v>
      </c>
      <c r="D195" s="4" t="s">
        <v>12</v>
      </c>
      <c r="E195" s="10" t="s">
        <v>2077</v>
      </c>
    </row>
    <row r="196">
      <c r="A196" s="4" t="s">
        <v>1795</v>
      </c>
      <c r="B196" s="4" t="s">
        <v>2069</v>
      </c>
      <c r="C196" s="4" t="s">
        <v>2074</v>
      </c>
      <c r="D196" s="4" t="s">
        <v>23</v>
      </c>
      <c r="E196" s="10" t="s">
        <v>2078</v>
      </c>
    </row>
    <row r="197">
      <c r="A197" s="4" t="s">
        <v>1795</v>
      </c>
      <c r="B197" s="4" t="s">
        <v>2069</v>
      </c>
      <c r="C197" s="4" t="s">
        <v>2074</v>
      </c>
      <c r="D197" s="4" t="s">
        <v>60</v>
      </c>
      <c r="E197" s="6" t="s">
        <v>2079</v>
      </c>
    </row>
    <row r="198">
      <c r="A198" s="4" t="s">
        <v>1795</v>
      </c>
      <c r="B198" s="4" t="s">
        <v>2080</v>
      </c>
      <c r="C198" s="4" t="s">
        <v>2081</v>
      </c>
      <c r="D198" s="4" t="s">
        <v>14</v>
      </c>
      <c r="E198" s="10" t="s">
        <v>2082</v>
      </c>
    </row>
    <row r="199">
      <c r="A199" s="4" t="s">
        <v>1795</v>
      </c>
      <c r="B199" s="4" t="s">
        <v>2080</v>
      </c>
      <c r="C199" s="4" t="s">
        <v>2081</v>
      </c>
      <c r="D199" s="4" t="s">
        <v>12</v>
      </c>
      <c r="E199" s="10" t="s">
        <v>2083</v>
      </c>
    </row>
    <row r="200">
      <c r="A200" s="4" t="s">
        <v>1795</v>
      </c>
      <c r="B200" s="4" t="s">
        <v>2080</v>
      </c>
      <c r="C200" s="4" t="s">
        <v>2081</v>
      </c>
      <c r="D200" s="4" t="s">
        <v>23</v>
      </c>
      <c r="E200" s="6" t="s">
        <v>2084</v>
      </c>
    </row>
    <row r="201">
      <c r="A201" s="4" t="s">
        <v>1795</v>
      </c>
      <c r="B201" s="4" t="s">
        <v>2080</v>
      </c>
      <c r="C201" s="4" t="s">
        <v>2081</v>
      </c>
      <c r="D201" s="4" t="s">
        <v>60</v>
      </c>
      <c r="E201" s="6" t="s">
        <v>2085</v>
      </c>
    </row>
    <row r="202">
      <c r="A202" s="4" t="s">
        <v>1795</v>
      </c>
      <c r="B202" s="4" t="s">
        <v>2086</v>
      </c>
      <c r="C202" s="4" t="s">
        <v>2087</v>
      </c>
      <c r="D202" s="4" t="s">
        <v>14</v>
      </c>
      <c r="E202" s="10" t="s">
        <v>2088</v>
      </c>
    </row>
    <row r="203">
      <c r="A203" s="4" t="s">
        <v>1795</v>
      </c>
      <c r="B203" s="4" t="s">
        <v>2086</v>
      </c>
      <c r="C203" s="4" t="s">
        <v>2087</v>
      </c>
      <c r="D203" s="4" t="s">
        <v>19</v>
      </c>
      <c r="E203" s="10" t="s">
        <v>2089</v>
      </c>
    </row>
    <row r="204">
      <c r="A204" s="4" t="s">
        <v>1795</v>
      </c>
      <c r="B204" s="4" t="s">
        <v>2086</v>
      </c>
      <c r="C204" s="4" t="s">
        <v>2087</v>
      </c>
      <c r="D204" s="4" t="s">
        <v>12</v>
      </c>
      <c r="E204" s="10" t="s">
        <v>2090</v>
      </c>
    </row>
    <row r="205">
      <c r="A205" s="4" t="s">
        <v>1795</v>
      </c>
      <c r="B205" s="4" t="s">
        <v>2086</v>
      </c>
      <c r="C205" s="4" t="s">
        <v>2087</v>
      </c>
      <c r="D205" s="4" t="s">
        <v>23</v>
      </c>
      <c r="E205" s="26" t="s">
        <v>2091</v>
      </c>
    </row>
    <row r="206">
      <c r="A206" s="4" t="s">
        <v>1795</v>
      </c>
      <c r="B206" s="4" t="s">
        <v>2092</v>
      </c>
      <c r="C206" s="4" t="s">
        <v>2093</v>
      </c>
      <c r="D206" s="4" t="s">
        <v>14</v>
      </c>
      <c r="E206" s="10" t="s">
        <v>2094</v>
      </c>
    </row>
    <row r="207">
      <c r="A207" s="4" t="s">
        <v>1795</v>
      </c>
      <c r="B207" s="4" t="s">
        <v>2092</v>
      </c>
      <c r="C207" s="4" t="s">
        <v>2093</v>
      </c>
      <c r="D207" s="4" t="s">
        <v>19</v>
      </c>
      <c r="E207" s="10" t="s">
        <v>2095</v>
      </c>
    </row>
    <row r="208">
      <c r="A208" s="4" t="s">
        <v>1795</v>
      </c>
      <c r="B208" s="4" t="s">
        <v>2092</v>
      </c>
      <c r="C208" s="4" t="s">
        <v>2093</v>
      </c>
      <c r="D208" s="4" t="s">
        <v>12</v>
      </c>
      <c r="E208" s="10" t="s">
        <v>2096</v>
      </c>
    </row>
    <row r="209">
      <c r="A209" s="4" t="s">
        <v>1795</v>
      </c>
      <c r="B209" s="4" t="s">
        <v>2092</v>
      </c>
      <c r="C209" s="4" t="s">
        <v>2093</v>
      </c>
      <c r="D209" s="4" t="s">
        <v>23</v>
      </c>
      <c r="E209" s="10" t="s">
        <v>2097</v>
      </c>
    </row>
    <row r="210">
      <c r="A210" s="4" t="s">
        <v>1795</v>
      </c>
      <c r="B210" s="4" t="s">
        <v>6</v>
      </c>
      <c r="C210" s="4" t="s">
        <v>2098</v>
      </c>
      <c r="D210" s="4" t="s">
        <v>12</v>
      </c>
      <c r="E210" s="10" t="s">
        <v>2099</v>
      </c>
    </row>
    <row r="211">
      <c r="A211" s="4" t="s">
        <v>1795</v>
      </c>
      <c r="B211" s="4" t="s">
        <v>6</v>
      </c>
      <c r="C211" s="4" t="s">
        <v>2100</v>
      </c>
      <c r="D211" s="4" t="s">
        <v>23</v>
      </c>
      <c r="E211" s="10" t="s">
        <v>2101</v>
      </c>
    </row>
    <row r="212">
      <c r="A212" s="4" t="s">
        <v>1795</v>
      </c>
      <c r="B212" s="4" t="s">
        <v>6</v>
      </c>
      <c r="C212" s="4" t="s">
        <v>2102</v>
      </c>
      <c r="D212" s="4" t="s">
        <v>12</v>
      </c>
      <c r="E212" s="10" t="s">
        <v>2103</v>
      </c>
    </row>
    <row r="213">
      <c r="A213" s="4" t="s">
        <v>1795</v>
      </c>
      <c r="B213" s="4" t="s">
        <v>6</v>
      </c>
      <c r="C213" s="4" t="s">
        <v>2104</v>
      </c>
      <c r="D213" s="4" t="s">
        <v>14</v>
      </c>
      <c r="E213" s="10" t="s">
        <v>2105</v>
      </c>
    </row>
    <row r="214">
      <c r="A214" s="4" t="s">
        <v>1795</v>
      </c>
      <c r="B214" s="4" t="s">
        <v>6</v>
      </c>
      <c r="C214" s="4" t="s">
        <v>2104</v>
      </c>
      <c r="D214" s="4" t="s">
        <v>8</v>
      </c>
      <c r="E214" s="6" t="s">
        <v>2106</v>
      </c>
    </row>
    <row r="215">
      <c r="A215" s="4" t="s">
        <v>1795</v>
      </c>
      <c r="B215" s="4" t="s">
        <v>6</v>
      </c>
      <c r="C215" s="4" t="s">
        <v>2104</v>
      </c>
      <c r="D215" s="4" t="s">
        <v>12</v>
      </c>
      <c r="E215" s="10" t="s">
        <v>2107</v>
      </c>
    </row>
    <row r="216">
      <c r="A216" s="4" t="s">
        <v>1795</v>
      </c>
      <c r="B216" s="4" t="s">
        <v>6</v>
      </c>
      <c r="C216" s="4" t="s">
        <v>2104</v>
      </c>
      <c r="D216" s="4" t="s">
        <v>19</v>
      </c>
      <c r="E216" s="6" t="s">
        <v>2108</v>
      </c>
    </row>
    <row r="217">
      <c r="A217" s="4" t="s">
        <v>1795</v>
      </c>
      <c r="B217" s="4" t="s">
        <v>2109</v>
      </c>
      <c r="C217" s="4" t="s">
        <v>2110</v>
      </c>
      <c r="D217" s="4" t="s">
        <v>12</v>
      </c>
      <c r="E217" s="10" t="s">
        <v>2111</v>
      </c>
    </row>
    <row r="218">
      <c r="A218" s="4" t="s">
        <v>1795</v>
      </c>
      <c r="B218" s="4" t="s">
        <v>2109</v>
      </c>
      <c r="C218" s="4" t="s">
        <v>2110</v>
      </c>
      <c r="D218" s="4" t="s">
        <v>19</v>
      </c>
      <c r="E218" s="10" t="s">
        <v>2112</v>
      </c>
    </row>
    <row r="219">
      <c r="A219" s="4" t="s">
        <v>1795</v>
      </c>
      <c r="B219" s="4" t="s">
        <v>2109</v>
      </c>
      <c r="C219" s="4" t="s">
        <v>2113</v>
      </c>
      <c r="D219" s="4" t="s">
        <v>14</v>
      </c>
      <c r="E219" s="10" t="s">
        <v>2114</v>
      </c>
    </row>
    <row r="220">
      <c r="A220" s="4" t="s">
        <v>1795</v>
      </c>
      <c r="B220" s="4" t="s">
        <v>2109</v>
      </c>
      <c r="C220" s="4" t="s">
        <v>2113</v>
      </c>
      <c r="D220" s="4" t="s">
        <v>19</v>
      </c>
      <c r="E220" s="10" t="s">
        <v>2115</v>
      </c>
    </row>
    <row r="221">
      <c r="A221" s="4" t="s">
        <v>1795</v>
      </c>
      <c r="B221" s="4" t="s">
        <v>2109</v>
      </c>
      <c r="C221" s="4" t="s">
        <v>2113</v>
      </c>
      <c r="D221" s="4" t="s">
        <v>12</v>
      </c>
      <c r="E221" s="10" t="s">
        <v>2116</v>
      </c>
    </row>
    <row r="222">
      <c r="A222" s="4" t="s">
        <v>1795</v>
      </c>
      <c r="B222" s="4" t="s">
        <v>2109</v>
      </c>
      <c r="C222" s="4" t="s">
        <v>2113</v>
      </c>
      <c r="D222" s="4" t="s">
        <v>23</v>
      </c>
      <c r="E222" s="10" t="s">
        <v>2117</v>
      </c>
    </row>
    <row r="223">
      <c r="A223" s="4" t="s">
        <v>1795</v>
      </c>
      <c r="B223" s="4" t="s">
        <v>2109</v>
      </c>
      <c r="C223" s="4" t="s">
        <v>2113</v>
      </c>
      <c r="D223" s="4" t="s">
        <v>60</v>
      </c>
      <c r="E223" s="10" t="s">
        <v>2118</v>
      </c>
    </row>
    <row r="224">
      <c r="A224" s="4" t="s">
        <v>1795</v>
      </c>
      <c r="B224" s="4" t="s">
        <v>2119</v>
      </c>
      <c r="C224" s="4" t="s">
        <v>2120</v>
      </c>
      <c r="D224" s="4" t="s">
        <v>14</v>
      </c>
      <c r="E224" s="6" t="s">
        <v>2121</v>
      </c>
    </row>
    <row r="225">
      <c r="A225" s="4" t="s">
        <v>1795</v>
      </c>
      <c r="B225" s="4" t="s">
        <v>2119</v>
      </c>
      <c r="C225" s="4" t="s">
        <v>2120</v>
      </c>
      <c r="D225" s="4" t="s">
        <v>60</v>
      </c>
      <c r="E225" s="6" t="s">
        <v>2122</v>
      </c>
    </row>
    <row r="226">
      <c r="A226" s="4" t="s">
        <v>1795</v>
      </c>
      <c r="B226" s="4" t="s">
        <v>2119</v>
      </c>
      <c r="C226" s="4" t="s">
        <v>2120</v>
      </c>
      <c r="D226" s="4" t="s">
        <v>19</v>
      </c>
      <c r="E226" s="6" t="s">
        <v>2123</v>
      </c>
    </row>
    <row r="227">
      <c r="A227" s="4" t="s">
        <v>1795</v>
      </c>
      <c r="B227" s="4" t="s">
        <v>2119</v>
      </c>
      <c r="C227" s="4" t="s">
        <v>2120</v>
      </c>
      <c r="D227" s="4" t="s">
        <v>12</v>
      </c>
      <c r="E227" s="10" t="s">
        <v>2124</v>
      </c>
    </row>
    <row r="228">
      <c r="A228" s="4" t="s">
        <v>1795</v>
      </c>
      <c r="B228" s="4" t="s">
        <v>2119</v>
      </c>
      <c r="C228" s="4" t="s">
        <v>2120</v>
      </c>
      <c r="D228" s="4" t="s">
        <v>23</v>
      </c>
      <c r="E228" s="6" t="s">
        <v>2125</v>
      </c>
    </row>
    <row r="229">
      <c r="A229" s="4" t="s">
        <v>1795</v>
      </c>
      <c r="B229" s="4" t="s">
        <v>2119</v>
      </c>
      <c r="C229" s="4" t="s">
        <v>2126</v>
      </c>
      <c r="D229" s="4" t="s">
        <v>425</v>
      </c>
      <c r="E229" s="6" t="s">
        <v>2127</v>
      </c>
    </row>
    <row r="230">
      <c r="A230" s="4"/>
      <c r="B230" s="4"/>
      <c r="C230" s="4"/>
      <c r="D230" s="4"/>
      <c r="E230" s="6"/>
    </row>
    <row r="231">
      <c r="A231" s="4"/>
      <c r="B231" s="4"/>
      <c r="C231" s="4"/>
      <c r="D231" s="4"/>
      <c r="E231" s="6"/>
    </row>
    <row r="232">
      <c r="A232" s="4"/>
      <c r="B232" s="4"/>
      <c r="C232" s="4"/>
      <c r="D232" s="4"/>
      <c r="E232" s="6"/>
    </row>
    <row r="233">
      <c r="A233" s="4"/>
      <c r="B233" s="4"/>
      <c r="C233" s="4"/>
      <c r="D233" s="4"/>
      <c r="E233" s="6"/>
    </row>
    <row r="234">
      <c r="A234" s="4"/>
      <c r="B234" s="4"/>
      <c r="C234" s="4"/>
      <c r="D234" s="4"/>
      <c r="E234" s="6"/>
    </row>
    <row r="235">
      <c r="A235" s="4"/>
      <c r="B235" s="4"/>
      <c r="C235" s="4"/>
      <c r="D235" s="4"/>
      <c r="E235" s="6"/>
    </row>
    <row r="236">
      <c r="A236" s="4"/>
      <c r="B236" s="4"/>
      <c r="C236" s="4"/>
      <c r="D236" s="4"/>
      <c r="E236" s="6"/>
    </row>
    <row r="237">
      <c r="A237" s="4"/>
      <c r="B237" s="4"/>
      <c r="C237" s="4"/>
      <c r="D237" s="4"/>
      <c r="E237" s="6"/>
    </row>
    <row r="238">
      <c r="A238" s="4"/>
      <c r="B238" s="4"/>
      <c r="C238" s="4"/>
      <c r="D238" s="4"/>
      <c r="E238" s="6"/>
    </row>
    <row r="239">
      <c r="A239" s="4"/>
      <c r="B239" s="4"/>
      <c r="C239" s="4"/>
      <c r="D239" s="4"/>
      <c r="E239" s="6"/>
    </row>
    <row r="240">
      <c r="A240" s="4"/>
      <c r="B240" s="4"/>
      <c r="C240" s="4"/>
      <c r="D240" s="4"/>
      <c r="E240" s="6"/>
    </row>
    <row r="241">
      <c r="A241" s="4"/>
      <c r="B241" s="4"/>
      <c r="C241" s="4"/>
      <c r="D241" s="4"/>
      <c r="E241" s="6"/>
    </row>
    <row r="242">
      <c r="A242" s="4"/>
      <c r="B242" s="4"/>
      <c r="C242" s="4"/>
      <c r="D242" s="4"/>
      <c r="E242" s="6"/>
    </row>
    <row r="243">
      <c r="A243" s="4"/>
      <c r="B243" s="4"/>
      <c r="C243" s="4"/>
      <c r="D243" s="4"/>
      <c r="E243" s="6"/>
    </row>
    <row r="244">
      <c r="A244" s="4"/>
      <c r="B244" s="4"/>
      <c r="C244" s="4"/>
      <c r="D244" s="4"/>
      <c r="E244" s="6"/>
    </row>
    <row r="245">
      <c r="A245" s="4"/>
      <c r="B245" s="4"/>
      <c r="C245" s="4"/>
      <c r="D245" s="4"/>
      <c r="E245" s="6"/>
    </row>
    <row r="246">
      <c r="A246" s="4"/>
      <c r="B246" s="4"/>
      <c r="C246" s="4"/>
      <c r="D246" s="4"/>
      <c r="E246" s="6"/>
    </row>
    <row r="247">
      <c r="A247" s="4"/>
      <c r="B247" s="4"/>
      <c r="C247" s="17"/>
      <c r="D247" s="4"/>
      <c r="E247" s="6"/>
    </row>
    <row r="248">
      <c r="A248" s="4"/>
      <c r="B248" s="4"/>
      <c r="C248" s="17"/>
      <c r="D248" s="4"/>
      <c r="E248" s="6"/>
    </row>
    <row r="249">
      <c r="A249" s="4"/>
      <c r="B249" s="4"/>
      <c r="C249" s="17"/>
      <c r="D249" s="4"/>
      <c r="E249" s="6"/>
    </row>
    <row r="250">
      <c r="A250" s="4"/>
      <c r="B250" s="4"/>
      <c r="C250" s="4"/>
      <c r="D250" s="4"/>
      <c r="E250" s="6"/>
    </row>
    <row r="251">
      <c r="A251" s="4"/>
      <c r="B251" s="4"/>
      <c r="C251" s="4"/>
      <c r="D251" s="4"/>
      <c r="E251" s="6"/>
    </row>
    <row r="252">
      <c r="A252" s="4"/>
      <c r="B252" s="4"/>
      <c r="C252" s="4"/>
      <c r="D252" s="4"/>
      <c r="E252" s="6"/>
    </row>
    <row r="253">
      <c r="A253" s="4"/>
      <c r="B253" s="4"/>
      <c r="C253" s="4"/>
      <c r="D253" s="4"/>
      <c r="E253" s="6"/>
    </row>
    <row r="254">
      <c r="A254" s="4"/>
      <c r="B254" s="4"/>
      <c r="C254" s="4"/>
      <c r="D254" s="4"/>
      <c r="E254" s="6"/>
    </row>
    <row r="255">
      <c r="A255" s="4"/>
      <c r="B255" s="4"/>
      <c r="C255" s="4"/>
      <c r="D255" s="4"/>
      <c r="E255" s="6"/>
    </row>
    <row r="256">
      <c r="A256" s="4"/>
      <c r="B256" s="4"/>
      <c r="C256" s="4"/>
      <c r="D256" s="4"/>
      <c r="E256" s="6"/>
    </row>
    <row r="257">
      <c r="A257" s="4"/>
      <c r="B257" s="4"/>
      <c r="C257" s="4"/>
      <c r="D257" s="4"/>
      <c r="E257" s="6"/>
    </row>
    <row r="258">
      <c r="A258" s="4"/>
      <c r="B258" s="4"/>
      <c r="C258" s="4"/>
      <c r="D258" s="4"/>
      <c r="E258" s="6"/>
    </row>
    <row r="259">
      <c r="A259" s="4"/>
      <c r="B259" s="4"/>
      <c r="C259" s="4"/>
      <c r="D259" s="4"/>
      <c r="E259" s="6"/>
    </row>
    <row r="260">
      <c r="A260" s="4"/>
      <c r="B260" s="4"/>
      <c r="C260" s="4"/>
      <c r="D260" s="4"/>
      <c r="E260" s="6"/>
    </row>
    <row r="261">
      <c r="A261" s="4"/>
      <c r="B261" s="4"/>
      <c r="C261" s="4"/>
      <c r="D261" s="4"/>
      <c r="E261" s="6"/>
    </row>
    <row r="262">
      <c r="A262" s="4"/>
      <c r="B262" s="4"/>
      <c r="C262" s="17"/>
      <c r="D262" s="4"/>
      <c r="E262" s="6"/>
    </row>
    <row r="263">
      <c r="A263" s="4"/>
      <c r="B263" s="4"/>
      <c r="C263" s="4"/>
      <c r="D263" s="4"/>
      <c r="E263" s="6"/>
    </row>
    <row r="264">
      <c r="A264" s="4"/>
      <c r="B264" s="4"/>
      <c r="C264" s="4"/>
      <c r="D264" s="4"/>
      <c r="E264" s="6"/>
    </row>
    <row r="265">
      <c r="A265" s="33"/>
      <c r="B265" s="33"/>
      <c r="C265" s="33"/>
      <c r="D265" s="33"/>
      <c r="E265" s="33"/>
    </row>
    <row r="266">
      <c r="A266" s="33"/>
      <c r="B266" s="33"/>
      <c r="C266" s="33"/>
      <c r="D266" s="33"/>
      <c r="E266" s="33"/>
    </row>
    <row r="267">
      <c r="A267" s="33"/>
      <c r="B267" s="33"/>
      <c r="C267" s="33"/>
      <c r="D267" s="33"/>
      <c r="E267" s="33"/>
    </row>
    <row r="268">
      <c r="A268" s="33"/>
      <c r="B268" s="33"/>
      <c r="C268" s="33"/>
      <c r="D268" s="33"/>
      <c r="E268" s="33"/>
    </row>
    <row r="269">
      <c r="A269" s="33"/>
      <c r="B269" s="33"/>
      <c r="C269" s="33"/>
      <c r="D269" s="33"/>
      <c r="E269" s="33"/>
    </row>
    <row r="270">
      <c r="A270" s="33"/>
      <c r="B270" s="33"/>
      <c r="C270" s="33"/>
      <c r="D270" s="33"/>
      <c r="E270" s="33"/>
    </row>
    <row r="271">
      <c r="A271" s="33"/>
      <c r="B271" s="33"/>
      <c r="C271" s="33"/>
      <c r="D271" s="33"/>
      <c r="E271" s="33"/>
    </row>
    <row r="272">
      <c r="A272" s="33"/>
      <c r="B272" s="33"/>
      <c r="C272" s="33"/>
      <c r="D272" s="33"/>
      <c r="E272" s="33"/>
    </row>
    <row r="273">
      <c r="A273" s="33"/>
      <c r="B273" s="33"/>
      <c r="C273" s="33"/>
      <c r="D273" s="33"/>
      <c r="E273" s="33"/>
    </row>
    <row r="274">
      <c r="A274" s="33"/>
      <c r="B274" s="33"/>
      <c r="C274" s="33"/>
      <c r="D274" s="33"/>
      <c r="E274" s="33"/>
    </row>
    <row r="275">
      <c r="A275" s="33"/>
      <c r="B275" s="33"/>
      <c r="C275" s="33"/>
      <c r="D275" s="33"/>
      <c r="E275" s="33"/>
    </row>
    <row r="276">
      <c r="A276" s="33"/>
      <c r="B276" s="33"/>
      <c r="C276" s="33"/>
      <c r="D276" s="33"/>
      <c r="E276" s="33"/>
    </row>
    <row r="277">
      <c r="A277" s="33"/>
      <c r="B277" s="33"/>
      <c r="C277" s="33"/>
      <c r="D277" s="33"/>
      <c r="E277" s="33"/>
    </row>
    <row r="278">
      <c r="A278" s="33"/>
      <c r="B278" s="33"/>
      <c r="C278" s="33"/>
      <c r="D278" s="33"/>
      <c r="E278" s="33"/>
    </row>
    <row r="279">
      <c r="A279" s="33"/>
      <c r="B279" s="33"/>
      <c r="C279" s="33"/>
      <c r="D279" s="33"/>
      <c r="E279" s="33"/>
    </row>
    <row r="280">
      <c r="A280" s="33"/>
      <c r="B280" s="33"/>
      <c r="C280" s="33"/>
      <c r="D280" s="33"/>
      <c r="E280" s="33"/>
    </row>
    <row r="281">
      <c r="A281" s="33"/>
      <c r="B281" s="33"/>
      <c r="C281" s="33"/>
      <c r="D281" s="33"/>
      <c r="E281" s="33"/>
    </row>
    <row r="282">
      <c r="A282" s="33"/>
      <c r="B282" s="33"/>
      <c r="C282" s="33"/>
      <c r="D282" s="33"/>
      <c r="E282" s="33"/>
    </row>
    <row r="283">
      <c r="A283" s="33"/>
      <c r="B283" s="33"/>
      <c r="C283" s="33"/>
      <c r="D283" s="33"/>
      <c r="E283" s="33"/>
    </row>
    <row r="284">
      <c r="A284" s="33"/>
      <c r="B284" s="33"/>
      <c r="C284" s="33"/>
      <c r="D284" s="33"/>
      <c r="E284" s="33"/>
    </row>
    <row r="285">
      <c r="A285" s="33"/>
      <c r="B285" s="33"/>
      <c r="C285" s="33"/>
      <c r="D285" s="33"/>
      <c r="E285" s="33"/>
    </row>
    <row r="286">
      <c r="A286" s="33"/>
      <c r="B286" s="33"/>
      <c r="C286" s="33"/>
      <c r="D286" s="33"/>
      <c r="E286" s="33"/>
    </row>
    <row r="287">
      <c r="A287" s="33"/>
      <c r="B287" s="33"/>
      <c r="C287" s="33"/>
      <c r="D287" s="33"/>
      <c r="E287" s="33"/>
    </row>
    <row r="288">
      <c r="A288" s="33"/>
      <c r="B288" s="33"/>
      <c r="C288" s="33"/>
      <c r="D288" s="33"/>
      <c r="E288" s="33"/>
    </row>
    <row r="289">
      <c r="A289" s="33"/>
      <c r="B289" s="33"/>
      <c r="C289" s="33"/>
      <c r="D289" s="33"/>
      <c r="E289" s="33"/>
    </row>
    <row r="290">
      <c r="A290" s="33"/>
      <c r="B290" s="33"/>
      <c r="C290" s="33"/>
      <c r="D290" s="33"/>
      <c r="E290" s="33"/>
    </row>
    <row r="291">
      <c r="A291" s="33"/>
      <c r="B291" s="33"/>
      <c r="C291" s="33"/>
      <c r="D291" s="33"/>
      <c r="E291" s="33"/>
    </row>
    <row r="292">
      <c r="A292" s="33"/>
      <c r="B292" s="33"/>
      <c r="C292" s="33"/>
      <c r="D292" s="33"/>
      <c r="E292" s="33"/>
    </row>
    <row r="293">
      <c r="A293" s="33"/>
      <c r="B293" s="33"/>
      <c r="C293" s="33"/>
      <c r="D293" s="33"/>
      <c r="E293" s="33"/>
    </row>
    <row r="294">
      <c r="A294" s="33"/>
      <c r="B294" s="33"/>
      <c r="C294" s="33"/>
      <c r="D294" s="33"/>
      <c r="E294" s="33"/>
    </row>
    <row r="295">
      <c r="A295" s="33"/>
      <c r="B295" s="33"/>
      <c r="C295" s="33"/>
      <c r="D295" s="33"/>
      <c r="E295" s="33"/>
    </row>
    <row r="296">
      <c r="A296" s="33"/>
      <c r="B296" s="33"/>
      <c r="C296" s="33"/>
      <c r="D296" s="33"/>
      <c r="E296" s="33"/>
    </row>
    <row r="297">
      <c r="A297" s="33"/>
      <c r="B297" s="33"/>
      <c r="C297" s="33"/>
      <c r="D297" s="33"/>
      <c r="E297" s="33"/>
    </row>
    <row r="298">
      <c r="A298" s="33"/>
      <c r="B298" s="33"/>
      <c r="C298" s="33"/>
      <c r="D298" s="33"/>
      <c r="E298" s="33"/>
    </row>
    <row r="299">
      <c r="A299" s="33"/>
      <c r="B299" s="33"/>
      <c r="C299" s="33"/>
      <c r="D299" s="33"/>
      <c r="E299" s="33"/>
    </row>
    <row r="300">
      <c r="A300" s="33"/>
      <c r="B300" s="33"/>
      <c r="C300" s="33"/>
      <c r="D300" s="33"/>
      <c r="E300" s="33"/>
    </row>
    <row r="301">
      <c r="A301" s="33"/>
      <c r="B301" s="33"/>
      <c r="C301" s="33"/>
      <c r="D301" s="33"/>
      <c r="E301" s="33"/>
    </row>
    <row r="302">
      <c r="A302" s="33"/>
      <c r="B302" s="33"/>
      <c r="C302" s="33"/>
      <c r="D302" s="33"/>
      <c r="E302" s="33"/>
    </row>
    <row r="303">
      <c r="A303" s="33"/>
      <c r="B303" s="33"/>
      <c r="C303" s="33"/>
      <c r="D303" s="33"/>
      <c r="E303" s="33"/>
    </row>
    <row r="304">
      <c r="A304" s="33"/>
      <c r="B304" s="33"/>
      <c r="C304" s="33"/>
      <c r="D304" s="33"/>
      <c r="E304" s="33"/>
    </row>
    <row r="305">
      <c r="A305" s="33"/>
      <c r="B305" s="33"/>
      <c r="C305" s="33"/>
      <c r="D305" s="33"/>
      <c r="E305" s="33"/>
    </row>
    <row r="306">
      <c r="A306" s="33"/>
      <c r="B306" s="33"/>
      <c r="C306" s="33"/>
      <c r="D306" s="33"/>
      <c r="E306" s="33"/>
    </row>
    <row r="307">
      <c r="A307" s="33"/>
      <c r="B307" s="33"/>
      <c r="C307" s="33"/>
      <c r="D307" s="33"/>
      <c r="E307" s="33"/>
    </row>
    <row r="308">
      <c r="A308" s="33"/>
      <c r="B308" s="33"/>
      <c r="C308" s="33"/>
      <c r="D308" s="33"/>
      <c r="E308" s="33"/>
    </row>
    <row r="309">
      <c r="A309" s="33"/>
      <c r="B309" s="33"/>
      <c r="C309" s="33"/>
      <c r="D309" s="33"/>
      <c r="E309" s="33"/>
    </row>
    <row r="310">
      <c r="A310" s="33"/>
      <c r="B310" s="33"/>
      <c r="C310" s="33"/>
      <c r="D310" s="33"/>
      <c r="E310" s="33"/>
    </row>
    <row r="311">
      <c r="A311" s="33"/>
      <c r="B311" s="33"/>
      <c r="C311" s="33"/>
      <c r="D311" s="33"/>
      <c r="E311" s="33"/>
    </row>
    <row r="312">
      <c r="A312" s="33"/>
      <c r="B312" s="33"/>
      <c r="C312" s="33"/>
      <c r="D312" s="33"/>
      <c r="E312" s="33"/>
    </row>
    <row r="313">
      <c r="A313" s="33"/>
      <c r="B313" s="33"/>
      <c r="C313" s="33"/>
      <c r="D313" s="33"/>
      <c r="E313" s="33"/>
    </row>
    <row r="314">
      <c r="A314" s="33"/>
      <c r="B314" s="33"/>
      <c r="C314" s="33"/>
      <c r="D314" s="33"/>
      <c r="E314" s="33"/>
    </row>
    <row r="315">
      <c r="A315" s="33"/>
      <c r="B315" s="33"/>
      <c r="C315" s="33"/>
      <c r="D315" s="33"/>
      <c r="E315" s="33"/>
    </row>
    <row r="316">
      <c r="A316" s="33"/>
      <c r="B316" s="33"/>
      <c r="C316" s="33"/>
      <c r="D316" s="33"/>
      <c r="E316" s="33"/>
    </row>
    <row r="317">
      <c r="A317" s="33"/>
      <c r="B317" s="33"/>
      <c r="C317" s="33"/>
      <c r="D317" s="33"/>
      <c r="E317" s="33"/>
    </row>
    <row r="318">
      <c r="A318" s="33"/>
      <c r="B318" s="33"/>
      <c r="C318" s="33"/>
      <c r="D318" s="33"/>
      <c r="E318" s="33"/>
    </row>
    <row r="319">
      <c r="A319" s="33"/>
      <c r="B319" s="33"/>
      <c r="C319" s="33"/>
      <c r="D319" s="33"/>
      <c r="E319" s="33"/>
    </row>
    <row r="320">
      <c r="A320" s="33"/>
      <c r="B320" s="33"/>
      <c r="C320" s="33"/>
      <c r="D320" s="33"/>
      <c r="E320" s="33"/>
    </row>
    <row r="321">
      <c r="A321" s="33"/>
      <c r="B321" s="33"/>
      <c r="C321" s="33"/>
      <c r="D321" s="33"/>
      <c r="E321" s="33"/>
    </row>
    <row r="322">
      <c r="A322" s="33"/>
      <c r="B322" s="33"/>
      <c r="C322" s="33"/>
      <c r="D322" s="33"/>
      <c r="E322" s="33"/>
    </row>
    <row r="323">
      <c r="A323" s="33"/>
      <c r="B323" s="33"/>
      <c r="C323" s="33"/>
      <c r="D323" s="33"/>
      <c r="E323" s="33"/>
    </row>
    <row r="324">
      <c r="A324" s="33"/>
      <c r="B324" s="33"/>
      <c r="C324" s="33"/>
      <c r="D324" s="33"/>
      <c r="E324" s="33"/>
    </row>
    <row r="325">
      <c r="A325" s="33"/>
      <c r="B325" s="33"/>
      <c r="C325" s="33"/>
      <c r="D325" s="33"/>
      <c r="E325" s="33"/>
    </row>
    <row r="326">
      <c r="A326" s="33"/>
      <c r="B326" s="33"/>
      <c r="C326" s="33"/>
      <c r="D326" s="33"/>
      <c r="E326" s="33"/>
    </row>
    <row r="327">
      <c r="A327" s="33"/>
      <c r="B327" s="33"/>
      <c r="C327" s="33"/>
      <c r="D327" s="33"/>
      <c r="E327" s="33"/>
    </row>
    <row r="328">
      <c r="A328" s="33"/>
      <c r="B328" s="33"/>
      <c r="C328" s="33"/>
      <c r="D328" s="33"/>
      <c r="E328" s="33"/>
    </row>
    <row r="329">
      <c r="A329" s="33"/>
      <c r="B329" s="33"/>
      <c r="C329" s="33"/>
      <c r="D329" s="33"/>
      <c r="E329" s="33"/>
    </row>
    <row r="330">
      <c r="A330" s="33"/>
      <c r="B330" s="33"/>
      <c r="C330" s="33"/>
      <c r="D330" s="33"/>
      <c r="E330" s="33"/>
    </row>
    <row r="331">
      <c r="A331" s="33"/>
      <c r="B331" s="33"/>
      <c r="C331" s="33"/>
      <c r="D331" s="33"/>
      <c r="E331" s="33"/>
    </row>
    <row r="332">
      <c r="A332" s="33"/>
      <c r="B332" s="33"/>
      <c r="C332" s="33"/>
      <c r="D332" s="33"/>
      <c r="E332" s="33"/>
    </row>
    <row r="333">
      <c r="A333" s="33"/>
      <c r="B333" s="33"/>
      <c r="C333" s="33"/>
      <c r="D333" s="33"/>
      <c r="E333" s="33"/>
    </row>
    <row r="334">
      <c r="A334" s="33"/>
      <c r="B334" s="33"/>
      <c r="C334" s="33"/>
      <c r="D334" s="33"/>
      <c r="E334" s="33"/>
    </row>
    <row r="335">
      <c r="A335" s="33"/>
      <c r="B335" s="33"/>
      <c r="C335" s="33"/>
      <c r="D335" s="33"/>
      <c r="E335" s="33"/>
    </row>
    <row r="336">
      <c r="A336" s="33"/>
      <c r="B336" s="33"/>
      <c r="C336" s="33"/>
      <c r="D336" s="33"/>
      <c r="E336" s="33"/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  <hyperlink r:id="rId134" ref="E135"/>
    <hyperlink r:id="rId135" ref="E136"/>
    <hyperlink r:id="rId136" ref="E137"/>
    <hyperlink r:id="rId137" ref="E138"/>
    <hyperlink r:id="rId138" ref="E139"/>
    <hyperlink r:id="rId139" ref="E140"/>
    <hyperlink r:id="rId140" ref="E141"/>
    <hyperlink r:id="rId141" ref="E142"/>
    <hyperlink r:id="rId142" ref="E143"/>
    <hyperlink r:id="rId143" ref="E144"/>
    <hyperlink r:id="rId144" ref="E145"/>
    <hyperlink r:id="rId145" ref="E146"/>
    <hyperlink r:id="rId146" ref="E147"/>
    <hyperlink r:id="rId147" ref="E148"/>
    <hyperlink r:id="rId148" ref="E149"/>
    <hyperlink r:id="rId149" ref="E150"/>
    <hyperlink r:id="rId150" ref="E151"/>
    <hyperlink r:id="rId151" ref="E152"/>
    <hyperlink r:id="rId152" ref="E153"/>
    <hyperlink r:id="rId153" ref="E154"/>
    <hyperlink r:id="rId154" ref="E155"/>
    <hyperlink r:id="rId155" ref="E156"/>
    <hyperlink r:id="rId156" ref="E157"/>
    <hyperlink r:id="rId157" ref="E158"/>
    <hyperlink r:id="rId158" ref="E159"/>
    <hyperlink r:id="rId159" ref="E160"/>
    <hyperlink r:id="rId160" ref="E161"/>
    <hyperlink r:id="rId161" ref="E162"/>
    <hyperlink r:id="rId162" ref="E163"/>
    <hyperlink r:id="rId163" ref="E164"/>
    <hyperlink r:id="rId164" ref="E165"/>
    <hyperlink r:id="rId165" ref="E166"/>
    <hyperlink r:id="rId166" ref="E167"/>
    <hyperlink r:id="rId167" ref="E168"/>
    <hyperlink r:id="rId168" ref="E169"/>
    <hyperlink r:id="rId169" ref="E170"/>
    <hyperlink r:id="rId170" ref="E171"/>
    <hyperlink r:id="rId171" ref="E172"/>
    <hyperlink r:id="rId172" ref="E173"/>
    <hyperlink r:id="rId173" ref="E174"/>
    <hyperlink r:id="rId174" ref="E175"/>
    <hyperlink r:id="rId175" ref="E176"/>
    <hyperlink r:id="rId176" ref="E177"/>
    <hyperlink r:id="rId177" ref="E178"/>
    <hyperlink r:id="rId178" ref="E179"/>
    <hyperlink r:id="rId179" ref="E180"/>
    <hyperlink r:id="rId180" ref="E181"/>
    <hyperlink r:id="rId181" ref="E182"/>
    <hyperlink r:id="rId182" ref="E183"/>
    <hyperlink r:id="rId183" ref="E184"/>
    <hyperlink r:id="rId184" ref="E185"/>
    <hyperlink r:id="rId185" ref="E186"/>
    <hyperlink r:id="rId186" ref="E187"/>
    <hyperlink r:id="rId187" ref="E188"/>
    <hyperlink r:id="rId188" ref="E189"/>
    <hyperlink r:id="rId189" ref="E190"/>
    <hyperlink r:id="rId190" ref="E191"/>
    <hyperlink r:id="rId191" ref="E192"/>
    <hyperlink r:id="rId192" ref="E193"/>
    <hyperlink r:id="rId193" ref="E194"/>
    <hyperlink r:id="rId194" ref="E195"/>
    <hyperlink r:id="rId195" ref="E196"/>
    <hyperlink r:id="rId196" ref="E197"/>
    <hyperlink r:id="rId197" ref="E198"/>
    <hyperlink r:id="rId198" ref="E199"/>
    <hyperlink r:id="rId199" ref="E200"/>
    <hyperlink r:id="rId200" ref="E201"/>
    <hyperlink r:id="rId201" ref="E202"/>
    <hyperlink r:id="rId202" ref="E203"/>
    <hyperlink r:id="rId203" ref="E204"/>
    <hyperlink r:id="rId204" ref="E205"/>
    <hyperlink r:id="rId205" ref="E206"/>
    <hyperlink r:id="rId206" ref="E207"/>
    <hyperlink r:id="rId207" ref="E208"/>
    <hyperlink r:id="rId208" ref="E209"/>
    <hyperlink r:id="rId209" ref="E210"/>
    <hyperlink r:id="rId210" ref="E211"/>
    <hyperlink r:id="rId211" ref="E212"/>
    <hyperlink r:id="rId212" ref="E213"/>
    <hyperlink r:id="rId213" ref="E214"/>
    <hyperlink r:id="rId214" ref="E215"/>
    <hyperlink r:id="rId215" ref="E216"/>
    <hyperlink r:id="rId216" ref="E217"/>
    <hyperlink r:id="rId217" ref="E218"/>
    <hyperlink r:id="rId218" ref="E219"/>
    <hyperlink r:id="rId219" ref="E220"/>
    <hyperlink r:id="rId220" ref="E221"/>
    <hyperlink r:id="rId221" ref="E222"/>
    <hyperlink r:id="rId222" ref="E223"/>
    <hyperlink r:id="rId223" ref="E224"/>
    <hyperlink r:id="rId224" ref="E225"/>
    <hyperlink r:id="rId225" ref="E226"/>
    <hyperlink r:id="rId226" ref="E227"/>
    <hyperlink r:id="rId227" ref="E228"/>
    <hyperlink r:id="rId228" ref="E229"/>
  </hyperlinks>
  <drawing r:id="rId229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28.88"/>
    <col customWidth="1" min="3" max="3" width="42.13"/>
    <col customWidth="1" min="5" max="5" width="6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4" t="str">
        <f>IFERROR(__xludf.DUMMYFUNCTION("{FILTER(Domestic!A2:E3405,Domestic!A2:A3405&lt;&gt;"""");FILTER(AF!A2:E3405,AF!A2:A3405&lt;&gt;"""");FILTER(EAP!A2:E3405,EAP!A2:A3405&lt;&gt;"""");FILTER(EUR!A2:E3405,EUR!A2:A3405&lt;&gt;"""");FILTER(IO!A2:E3405,IO!A2:A3405&lt;&gt;"""");FILTER(NEA!A2:E3405,NEA!A2:A3405&lt;&gt;"""");FILTER(S"&amp;"CA!A2:E3405,SCA!A2:A3405&lt;&gt;"""");FILTER(WHA!A2:E3405,WHA!A2:A3405&lt;&gt;"""")}"),"A")</f>
        <v>A</v>
      </c>
      <c r="B2" s="4" t="str">
        <f>IFERROR(__xludf.DUMMYFUNCTION("""COMPUTED_VALUE"""),"United States")</f>
        <v>United States</v>
      </c>
      <c r="C2" s="4" t="str">
        <f>IFERROR(__xludf.DUMMYFUNCTION("""COMPUTED_VALUE"""),"U.S. Department of State Industry Liaison")</f>
        <v>U.S. Department of State Industry Liaison</v>
      </c>
      <c r="D2" s="4" t="str">
        <f>IFERROR(__xludf.DUMMYFUNCTION("""COMPUTED_VALUE"""),"LinkedIn")</f>
        <v>LinkedIn</v>
      </c>
      <c r="E2" s="3" t="str">
        <f>IFERROR(__xludf.DUMMYFUNCTION("""COMPUTED_VALUE"""),"https://www.linkedin.com/company/department-of-state-industry-liaison/")</f>
        <v>https://www.linkedin.com/company/department-of-state-industry-liaison/</v>
      </c>
    </row>
    <row r="3">
      <c r="A3" s="59" t="str">
        <f>IFERROR(__xludf.DUMMYFUNCTION("""COMPUTED_VALUE"""),"AVC")</f>
        <v>AVC</v>
      </c>
      <c r="B3" s="59" t="str">
        <f>IFERROR(__xludf.DUMMYFUNCTION("""COMPUTED_VALUE"""),"United States")</f>
        <v>United States</v>
      </c>
      <c r="C3" s="59" t="str">
        <f>IFERROR(__xludf.DUMMYFUNCTION("""COMPUTED_VALUE"""),"Bureau of Arms Control, Deterrence, and Stability")</f>
        <v>Bureau of Arms Control, Deterrence, and Stability</v>
      </c>
      <c r="D3" s="59" t="str">
        <f>IFERROR(__xludf.DUMMYFUNCTION("""COMPUTED_VALUE"""),"X")</f>
        <v>X</v>
      </c>
      <c r="E3" s="60" t="str">
        <f>IFERROR(__xludf.DUMMYFUNCTION("""COMPUTED_VALUE"""),"https://x.com/StateADS")</f>
        <v>https://x.com/StateADS</v>
      </c>
    </row>
    <row r="4">
      <c r="A4" s="59" t="str">
        <f>IFERROR(__xludf.DUMMYFUNCTION("""COMPUTED_VALUE"""),"AVC")</f>
        <v>AVC</v>
      </c>
      <c r="B4" s="59" t="str">
        <f>IFERROR(__xludf.DUMMYFUNCTION("""COMPUTED_VALUE"""),"United States")</f>
        <v>United States</v>
      </c>
      <c r="C4" s="59" t="str">
        <f>IFERROR(__xludf.DUMMYFUNCTION("""COMPUTED_VALUE"""),"Bureau of Arms Control, Deterrence, and Stability")</f>
        <v>Bureau of Arms Control, Deterrence, and Stability</v>
      </c>
      <c r="D4" s="59" t="str">
        <f>IFERROR(__xludf.DUMMYFUNCTION("""COMPUTED_VALUE"""),"Facebook")</f>
        <v>Facebook</v>
      </c>
      <c r="E4" s="61" t="str">
        <f>IFERROR(__xludf.DUMMYFUNCTION("""COMPUTED_VALUE"""),"https://www.facebook.com/StateADS")</f>
        <v>https://www.facebook.com/StateADS</v>
      </c>
    </row>
    <row r="5">
      <c r="A5" s="59" t="str">
        <f>IFERROR(__xludf.DUMMYFUNCTION("""COMPUTED_VALUE"""),"CA")</f>
        <v>CA</v>
      </c>
      <c r="B5" s="59" t="str">
        <f>IFERROR(__xludf.DUMMYFUNCTION("""COMPUTED_VALUE"""),"United States")</f>
        <v>United States</v>
      </c>
      <c r="C5" s="59" t="str">
        <f>IFERROR(__xludf.DUMMYFUNCTION("""COMPUTED_VALUE"""),"Bureau of Consular Affairs")</f>
        <v>Bureau of Consular Affairs</v>
      </c>
      <c r="D5" s="59" t="str">
        <f>IFERROR(__xludf.DUMMYFUNCTION("""COMPUTED_VALUE"""),"Facebook")</f>
        <v>Facebook</v>
      </c>
      <c r="E5" s="60" t="str">
        <f>IFERROR(__xludf.DUMMYFUNCTION("""COMPUTED_VALUE"""),"https://www.facebook.com/travelgov/")</f>
        <v>https://www.facebook.com/travelgov/</v>
      </c>
    </row>
    <row r="6">
      <c r="A6" s="59" t="str">
        <f>IFERROR(__xludf.DUMMYFUNCTION("""COMPUTED_VALUE"""),"CA")</f>
        <v>CA</v>
      </c>
      <c r="B6" s="59" t="str">
        <f>IFERROR(__xludf.DUMMYFUNCTION("""COMPUTED_VALUE"""),"United States")</f>
        <v>United States</v>
      </c>
      <c r="C6" s="59" t="str">
        <f>IFERROR(__xludf.DUMMYFUNCTION("""COMPUTED_VALUE"""),"Bureau of Consular Affairs")</f>
        <v>Bureau of Consular Affairs</v>
      </c>
      <c r="D6" s="59" t="str">
        <f>IFERROR(__xludf.DUMMYFUNCTION("""COMPUTED_VALUE"""),"Instagram")</f>
        <v>Instagram</v>
      </c>
      <c r="E6" s="60" t="str">
        <f>IFERROR(__xludf.DUMMYFUNCTION("""COMPUTED_VALUE"""),"https://www.instagram.com/travelgov/")</f>
        <v>https://www.instagram.com/travelgov/</v>
      </c>
    </row>
    <row r="7">
      <c r="A7" s="59" t="str">
        <f>IFERROR(__xludf.DUMMYFUNCTION("""COMPUTED_VALUE"""),"CA")</f>
        <v>CA</v>
      </c>
      <c r="B7" s="59" t="str">
        <f>IFERROR(__xludf.DUMMYFUNCTION("""COMPUTED_VALUE"""),"United States")</f>
        <v>United States</v>
      </c>
      <c r="C7" s="59" t="str">
        <f>IFERROR(__xludf.DUMMYFUNCTION("""COMPUTED_VALUE"""),"Bureau of Consular Affairs")</f>
        <v>Bureau of Consular Affairs</v>
      </c>
      <c r="D7" s="59" t="str">
        <f>IFERROR(__xludf.DUMMYFUNCTION("""COMPUTED_VALUE"""),"X ")</f>
        <v>X </v>
      </c>
      <c r="E7" s="60" t="str">
        <f>IFERROR(__xludf.DUMMYFUNCTION("""COMPUTED_VALUE"""),"https://x.com/TravelGov")</f>
        <v>https://x.com/TravelGov</v>
      </c>
    </row>
    <row r="8">
      <c r="A8" s="59" t="str">
        <f>IFERROR(__xludf.DUMMYFUNCTION("""COMPUTED_VALUE"""),"CA")</f>
        <v>CA</v>
      </c>
      <c r="B8" s="59" t="str">
        <f>IFERROR(__xludf.DUMMYFUNCTION("""COMPUTED_VALUE"""),"United States")</f>
        <v>United States</v>
      </c>
      <c r="C8" s="59" t="str">
        <f>IFERROR(__xludf.DUMMYFUNCTION("""COMPUTED_VALUE"""),"Bureau of Consular Affairs")</f>
        <v>Bureau of Consular Affairs</v>
      </c>
      <c r="D8" s="59" t="str">
        <f>IFERROR(__xludf.DUMMYFUNCTION("""COMPUTED_VALUE"""),"YouTube")</f>
        <v>YouTube</v>
      </c>
      <c r="E8" s="60" t="str">
        <f>IFERROR(__xludf.DUMMYFUNCTION("""COMPUTED_VALUE"""),"https://www.youtube.com/user/TravelGov")</f>
        <v>https://www.youtube.com/user/TravelGov</v>
      </c>
    </row>
    <row r="9">
      <c r="A9" s="59" t="str">
        <f>IFERROR(__xludf.DUMMYFUNCTION("""COMPUTED_VALUE"""),"CA")</f>
        <v>CA</v>
      </c>
      <c r="B9" s="59" t="str">
        <f>IFERROR(__xludf.DUMMYFUNCTION("""COMPUTED_VALUE"""),"United States")</f>
        <v>United States</v>
      </c>
      <c r="C9" s="59" t="str">
        <f>IFERROR(__xludf.DUMMYFUNCTION("""COMPUTED_VALUE"""),"Bureau of Consular Affairs")</f>
        <v>Bureau of Consular Affairs</v>
      </c>
      <c r="D9" s="59" t="str">
        <f>IFERROR(__xludf.DUMMYFUNCTION("""COMPUTED_VALUE"""),"Whatsapp")</f>
        <v>Whatsapp</v>
      </c>
      <c r="E9" s="60" t="str">
        <f>IFERROR(__xludf.DUMMYFUNCTION("""COMPUTED_VALUE"""),"https://whatsapp.com/channel/0029Var8szHInlqREVL5jC0g")</f>
        <v>https://whatsapp.com/channel/0029Var8szHInlqREVL5jC0g</v>
      </c>
    </row>
    <row r="10">
      <c r="A10" s="59" t="str">
        <f>IFERROR(__xludf.DUMMYFUNCTION("""COMPUTED_VALUE"""),"CDP")</f>
        <v>CDP</v>
      </c>
      <c r="B10" s="59" t="str">
        <f>IFERROR(__xludf.DUMMYFUNCTION("""COMPUTED_VALUE"""),"United States")</f>
        <v>United States</v>
      </c>
      <c r="C10" s="59" t="str">
        <f>IFERROR(__xludf.DUMMYFUNCTION("""COMPUTED_VALUE"""),"Bureau of Cyberspace and Digital Policy")</f>
        <v>Bureau of Cyberspace and Digital Policy</v>
      </c>
      <c r="D10" s="59" t="str">
        <f>IFERROR(__xludf.DUMMYFUNCTION("""COMPUTED_VALUE"""),"X")</f>
        <v>X</v>
      </c>
      <c r="E10" s="60" t="str">
        <f>IFERROR(__xludf.DUMMYFUNCTION("""COMPUTED_VALUE"""),"https://x.com/StateCDP")</f>
        <v>https://x.com/StateCDP</v>
      </c>
    </row>
    <row r="11">
      <c r="A11" s="59" t="str">
        <f>IFERROR(__xludf.DUMMYFUNCTION("""COMPUTED_VALUE"""),"CDP")</f>
        <v>CDP</v>
      </c>
      <c r="B11" s="59" t="str">
        <f>IFERROR(__xludf.DUMMYFUNCTION("""COMPUTED_VALUE"""),"United States")</f>
        <v>United States</v>
      </c>
      <c r="C11" s="59" t="str">
        <f>IFERROR(__xludf.DUMMYFUNCTION("""COMPUTED_VALUE"""),"Bureau of Cyberspace and Digital Policy")</f>
        <v>Bureau of Cyberspace and Digital Policy</v>
      </c>
      <c r="D11" s="59" t="str">
        <f>IFERROR(__xludf.DUMMYFUNCTION("""COMPUTED_VALUE"""),"LinkedIn")</f>
        <v>LinkedIn</v>
      </c>
      <c r="E11" s="60" t="str">
        <f>IFERROR(__xludf.DUMMYFUNCTION("""COMPUTED_VALUE"""),"https://www.linkedin.com/company/bureau-of-cyberspace-and-digital-policy/")</f>
        <v>https://www.linkedin.com/company/bureau-of-cyberspace-and-digital-policy/</v>
      </c>
    </row>
    <row r="12">
      <c r="A12" s="59" t="str">
        <f>IFERROR(__xludf.DUMMYFUNCTION("""COMPUTED_VALUE"""),"CDP")</f>
        <v>CDP</v>
      </c>
      <c r="B12" s="59" t="str">
        <f>IFERROR(__xludf.DUMMYFUNCTION("""COMPUTED_VALUE"""),"United States")</f>
        <v>United States</v>
      </c>
      <c r="C12" s="59" t="str">
        <f>IFERROR(__xludf.DUMMYFUNCTION("""COMPUTED_VALUE"""),"Bureau of Cyberspace and Digital Policy")</f>
        <v>Bureau of Cyberspace and Digital Policy</v>
      </c>
      <c r="D12" s="59" t="str">
        <f>IFERROR(__xludf.DUMMYFUNCTION("""COMPUTED_VALUE"""),"YouTube")</f>
        <v>YouTube</v>
      </c>
      <c r="E12" s="60" t="str">
        <f>IFERROR(__xludf.DUMMYFUNCTION("""COMPUTED_VALUE"""),"https://www.youtube.com/@StateCDP")</f>
        <v>https://www.youtube.com/@StateCDP</v>
      </c>
    </row>
    <row r="13">
      <c r="A13" s="59" t="str">
        <f>IFERROR(__xludf.DUMMYFUNCTION("""COMPUTED_VALUE"""),"CSO")</f>
        <v>CSO</v>
      </c>
      <c r="B13" s="59" t="str">
        <f>IFERROR(__xludf.DUMMYFUNCTION("""COMPUTED_VALUE"""),"United States")</f>
        <v>United States</v>
      </c>
      <c r="C13" s="59" t="str">
        <f>IFERROR(__xludf.DUMMYFUNCTION("""COMPUTED_VALUE"""),"Bureau of Conflict and Stabilization Operations")</f>
        <v>Bureau of Conflict and Stabilization Operations</v>
      </c>
      <c r="D13" s="59" t="str">
        <f>IFERROR(__xludf.DUMMYFUNCTION("""COMPUTED_VALUE"""),"Facebook")</f>
        <v>Facebook</v>
      </c>
      <c r="E13" s="60" t="str">
        <f>IFERROR(__xludf.DUMMYFUNCTION("""COMPUTED_VALUE"""),"https://www.facebook.com/stateCSO/")</f>
        <v>https://www.facebook.com/stateCSO/</v>
      </c>
    </row>
    <row r="14">
      <c r="A14" s="59" t="str">
        <f>IFERROR(__xludf.DUMMYFUNCTION("""COMPUTED_VALUE"""),"CSO")</f>
        <v>CSO</v>
      </c>
      <c r="B14" s="59" t="str">
        <f>IFERROR(__xludf.DUMMYFUNCTION("""COMPUTED_VALUE"""),"United States")</f>
        <v>United States</v>
      </c>
      <c r="C14" s="59" t="str">
        <f>IFERROR(__xludf.DUMMYFUNCTION("""COMPUTED_VALUE"""),"Bureau of Conflict and Stabilization Operations")</f>
        <v>Bureau of Conflict and Stabilization Operations</v>
      </c>
      <c r="D14" s="59" t="str">
        <f>IFERROR(__xludf.DUMMYFUNCTION("""COMPUTED_VALUE"""),"X")</f>
        <v>X</v>
      </c>
      <c r="E14" s="60" t="str">
        <f>IFERROR(__xludf.DUMMYFUNCTION("""COMPUTED_VALUE"""),"https://x.com/StateCSO")</f>
        <v>https://x.com/StateCSO</v>
      </c>
    </row>
    <row r="15">
      <c r="A15" s="59" t="str">
        <f>IFERROR(__xludf.DUMMYFUNCTION("""COMPUTED_VALUE"""),"CT")</f>
        <v>CT</v>
      </c>
      <c r="B15" s="59" t="str">
        <f>IFERROR(__xludf.DUMMYFUNCTION("""COMPUTED_VALUE"""),"United States")</f>
        <v>United States</v>
      </c>
      <c r="C15" s="59" t="str">
        <f>IFERROR(__xludf.DUMMYFUNCTION("""COMPUTED_VALUE"""),"Bureau of Counterterrorism")</f>
        <v>Bureau of Counterterrorism</v>
      </c>
      <c r="D15" s="59" t="str">
        <f>IFERROR(__xludf.DUMMYFUNCTION("""COMPUTED_VALUE"""),"X")</f>
        <v>X</v>
      </c>
      <c r="E15" s="60" t="str">
        <f>IFERROR(__xludf.DUMMYFUNCTION("""COMPUTED_VALUE"""),"https://x.com/StateDeptCT")</f>
        <v>https://x.com/StateDeptCT</v>
      </c>
    </row>
    <row r="16">
      <c r="A16" s="59" t="str">
        <f>IFERROR(__xludf.DUMMYFUNCTION("""COMPUTED_VALUE"""),"D")</f>
        <v>D</v>
      </c>
      <c r="B16" s="59" t="str">
        <f>IFERROR(__xludf.DUMMYFUNCTION("""COMPUTED_VALUE"""),"United States")</f>
        <v>United States</v>
      </c>
      <c r="C16" s="59" t="str">
        <f>IFERROR(__xludf.DUMMYFUNCTION("""COMPUTED_VALUE"""),"Deputy Secretary of State")</f>
        <v>Deputy Secretary of State</v>
      </c>
      <c r="D16" s="59" t="str">
        <f>IFERROR(__xludf.DUMMYFUNCTION("""COMPUTED_VALUE"""),"X")</f>
        <v>X</v>
      </c>
      <c r="E16" s="60" t="str">
        <f>IFERROR(__xludf.DUMMYFUNCTION("""COMPUTED_VALUE"""),"https://x.com/DeputySecState")</f>
        <v>https://x.com/DeputySecState</v>
      </c>
    </row>
    <row r="17">
      <c r="A17" s="59" t="str">
        <f>IFERROR(__xludf.DUMMYFUNCTION("""COMPUTED_VALUE"""),"D")</f>
        <v>D</v>
      </c>
      <c r="B17" s="59" t="str">
        <f>IFERROR(__xludf.DUMMYFUNCTION("""COMPUTED_VALUE"""),"United States")</f>
        <v>United States</v>
      </c>
      <c r="C17" s="59" t="str">
        <f>IFERROR(__xludf.DUMMYFUNCTION("""COMPUTED_VALUE"""),"Deputy Secretary of State")</f>
        <v>Deputy Secretary of State</v>
      </c>
      <c r="D17" s="59" t="str">
        <f>IFERROR(__xludf.DUMMYFUNCTION("""COMPUTED_VALUE"""),"Instagram")</f>
        <v>Instagram</v>
      </c>
      <c r="E17" s="60" t="str">
        <f>IFERROR(__xludf.DUMMYFUNCTION("""COMPUTED_VALUE"""),"https://www.instagram.com/deputysecstate/")</f>
        <v>https://www.instagram.com/deputysecstate/</v>
      </c>
    </row>
    <row r="18">
      <c r="A18" s="59" t="str">
        <f>IFERROR(__xludf.DUMMYFUNCTION("""COMPUTED_VALUE"""),"D-MR")</f>
        <v>D-MR</v>
      </c>
      <c r="B18" s="59" t="str">
        <f>IFERROR(__xludf.DUMMYFUNCTION("""COMPUTED_VALUE"""),"United States")</f>
        <v>United States</v>
      </c>
      <c r="C18" s="59" t="str">
        <f>IFERROR(__xludf.DUMMYFUNCTION("""COMPUTED_VALUE"""),"Deputy Secretary of State for Management and Resources")</f>
        <v>Deputy Secretary of State for Management and Resources</v>
      </c>
      <c r="D18" s="59" t="str">
        <f>IFERROR(__xludf.DUMMYFUNCTION("""COMPUTED_VALUE"""),"X")</f>
        <v>X</v>
      </c>
      <c r="E18" s="60" t="str">
        <f>IFERROR(__xludf.DUMMYFUNCTION("""COMPUTED_VALUE"""),"https://x.com/DepSecStateMR")</f>
        <v>https://x.com/DepSecStateMR</v>
      </c>
    </row>
    <row r="19">
      <c r="A19" s="59" t="str">
        <f>IFERROR(__xludf.DUMMYFUNCTION("""COMPUTED_VALUE"""),"D-MR")</f>
        <v>D-MR</v>
      </c>
      <c r="B19" s="59" t="str">
        <f>IFERROR(__xludf.DUMMYFUNCTION("""COMPUTED_VALUE"""),"United States")</f>
        <v>United States</v>
      </c>
      <c r="C19" s="59" t="str">
        <f>IFERROR(__xludf.DUMMYFUNCTION("""COMPUTED_VALUE"""),"Deputy Secretary of State for Management and Resources")</f>
        <v>Deputy Secretary of State for Management and Resources</v>
      </c>
      <c r="D19" s="59" t="str">
        <f>IFERROR(__xludf.DUMMYFUNCTION("""COMPUTED_VALUE"""),"Instagram")</f>
        <v>Instagram</v>
      </c>
      <c r="E19" s="60" t="str">
        <f>IFERROR(__xludf.DUMMYFUNCTION("""COMPUTED_VALUE"""),"https://www.instagram.com/depsecstatemr/ ")</f>
        <v>https://www.instagram.com/depsecstatemr/ </v>
      </c>
    </row>
    <row r="20">
      <c r="A20" s="59" t="str">
        <f>IFERROR(__xludf.DUMMYFUNCTION("""COMPUTED_VALUE"""),"DRL")</f>
        <v>DRL</v>
      </c>
      <c r="B20" s="59" t="str">
        <f>IFERROR(__xludf.DUMMYFUNCTION("""COMPUTED_VALUE"""),"United States")</f>
        <v>United States</v>
      </c>
      <c r="C20" s="59" t="str">
        <f>IFERROR(__xludf.DUMMYFUNCTION("""COMPUTED_VALUE"""),"Bureau of Democracy, Human Rights, and Labor")</f>
        <v>Bureau of Democracy, Human Rights, and Labor</v>
      </c>
      <c r="D20" s="59" t="str">
        <f>IFERROR(__xludf.DUMMYFUNCTION("""COMPUTED_VALUE"""),"Facebook")</f>
        <v>Facebook</v>
      </c>
      <c r="E20" s="60" t="str">
        <f>IFERROR(__xludf.DUMMYFUNCTION("""COMPUTED_VALUE"""),"https://www.facebook.com/StateDRL/")</f>
        <v>https://www.facebook.com/StateDRL/</v>
      </c>
    </row>
    <row r="21">
      <c r="A21" s="59" t="str">
        <f>IFERROR(__xludf.DUMMYFUNCTION("""COMPUTED_VALUE"""),"DRL")</f>
        <v>DRL</v>
      </c>
      <c r="B21" s="59" t="str">
        <f>IFERROR(__xludf.DUMMYFUNCTION("""COMPUTED_VALUE"""),"United States")</f>
        <v>United States</v>
      </c>
      <c r="C21" s="59" t="str">
        <f>IFERROR(__xludf.DUMMYFUNCTION("""COMPUTED_VALUE"""),"Bureau of Democracy, Human Rights, and Labor")</f>
        <v>Bureau of Democracy, Human Rights, and Labor</v>
      </c>
      <c r="D21" s="59" t="str">
        <f>IFERROR(__xludf.DUMMYFUNCTION("""COMPUTED_VALUE"""),"Instagram")</f>
        <v>Instagram</v>
      </c>
      <c r="E21" s="60" t="str">
        <f>IFERROR(__xludf.DUMMYFUNCTION("""COMPUTED_VALUE"""),"https://www.instagram.com/usa_humanrights/")</f>
        <v>https://www.instagram.com/usa_humanrights/</v>
      </c>
    </row>
    <row r="22">
      <c r="A22" s="59" t="str">
        <f>IFERROR(__xludf.DUMMYFUNCTION("""COMPUTED_VALUE"""),"DRL")</f>
        <v>DRL</v>
      </c>
      <c r="B22" s="59" t="str">
        <f>IFERROR(__xludf.DUMMYFUNCTION("""COMPUTED_VALUE"""),"United States")</f>
        <v>United States</v>
      </c>
      <c r="C22" s="59" t="str">
        <f>IFERROR(__xludf.DUMMYFUNCTION("""COMPUTED_VALUE"""),"Bureau of Democracy, Human Rights, and Labor")</f>
        <v>Bureau of Democracy, Human Rights, and Labor</v>
      </c>
      <c r="D22" s="59" t="str">
        <f>IFERROR(__xludf.DUMMYFUNCTION("""COMPUTED_VALUE"""),"X")</f>
        <v>X</v>
      </c>
      <c r="E22" s="60" t="str">
        <f>IFERROR(__xludf.DUMMYFUNCTION("""COMPUTED_VALUE"""),"https://x.com/StateDRL")</f>
        <v>https://x.com/StateDRL</v>
      </c>
    </row>
    <row r="23">
      <c r="A23" s="59" t="str">
        <f>IFERROR(__xludf.DUMMYFUNCTION("""COMPUTED_VALUE"""),"DRL")</f>
        <v>DRL</v>
      </c>
      <c r="B23" s="59" t="str">
        <f>IFERROR(__xludf.DUMMYFUNCTION("""COMPUTED_VALUE"""),"United States")</f>
        <v>United States</v>
      </c>
      <c r="C23" s="59" t="str">
        <f>IFERROR(__xludf.DUMMYFUNCTION("""COMPUTED_VALUE"""),"Bureau of Democracy, Human Rights, and Labor")</f>
        <v>Bureau of Democracy, Human Rights, and Labor</v>
      </c>
      <c r="D23" s="59" t="str">
        <f>IFERROR(__xludf.DUMMYFUNCTION("""COMPUTED_VALUE"""),"YouTube")</f>
        <v>YouTube</v>
      </c>
      <c r="E23" s="60" t="str">
        <f>IFERROR(__xludf.DUMMYFUNCTION("""COMPUTED_VALUE"""),"https://www.youtube.com/@bureauofdemocracyhumanrigh870")</f>
        <v>https://www.youtube.com/@bureauofdemocracyhumanrigh870</v>
      </c>
    </row>
    <row r="24">
      <c r="A24" s="59" t="str">
        <f>IFERROR(__xludf.DUMMYFUNCTION("""COMPUTED_VALUE"""),"DS")</f>
        <v>DS</v>
      </c>
      <c r="B24" s="59" t="str">
        <f>IFERROR(__xludf.DUMMYFUNCTION("""COMPUTED_VALUE"""),"United States")</f>
        <v>United States</v>
      </c>
      <c r="C24" s="59" t="str">
        <f>IFERROR(__xludf.DUMMYFUNCTION("""COMPUTED_VALUE"""),"Diplomatic Security Service")</f>
        <v>Diplomatic Security Service</v>
      </c>
      <c r="D24" s="59" t="str">
        <f>IFERROR(__xludf.DUMMYFUNCTION("""COMPUTED_VALUE"""),"Facebook")</f>
        <v>Facebook</v>
      </c>
      <c r="E24" s="60" t="str">
        <f>IFERROR(__xludf.DUMMYFUNCTION("""COMPUTED_VALUE"""),"https://www.facebook.com/StateDeptDSS")</f>
        <v>https://www.facebook.com/StateDeptDSS</v>
      </c>
    </row>
    <row r="25">
      <c r="A25" s="59" t="str">
        <f>IFERROR(__xludf.DUMMYFUNCTION("""COMPUTED_VALUE"""),"DS")</f>
        <v>DS</v>
      </c>
      <c r="B25" s="59" t="str">
        <f>IFERROR(__xludf.DUMMYFUNCTION("""COMPUTED_VALUE"""),"United States")</f>
        <v>United States</v>
      </c>
      <c r="C25" s="59" t="str">
        <f>IFERROR(__xludf.DUMMYFUNCTION("""COMPUTED_VALUE"""),"Diplomatic Security Service")</f>
        <v>Diplomatic Security Service</v>
      </c>
      <c r="D25" s="59" t="str">
        <f>IFERROR(__xludf.DUMMYFUNCTION("""COMPUTED_VALUE"""),"Instagram")</f>
        <v>Instagram</v>
      </c>
      <c r="E25" s="60" t="str">
        <f>IFERROR(__xludf.DUMMYFUNCTION("""COMPUTED_VALUE"""),"https://www.instagram.com/statedeptdss/")</f>
        <v>https://www.instagram.com/statedeptdss/</v>
      </c>
    </row>
    <row r="26">
      <c r="A26" s="59" t="str">
        <f>IFERROR(__xludf.DUMMYFUNCTION("""COMPUTED_VALUE"""),"DS")</f>
        <v>DS</v>
      </c>
      <c r="B26" s="59" t="str">
        <f>IFERROR(__xludf.DUMMYFUNCTION("""COMPUTED_VALUE"""),"United States")</f>
        <v>United States</v>
      </c>
      <c r="C26" s="59" t="str">
        <f>IFERROR(__xludf.DUMMYFUNCTION("""COMPUTED_VALUE"""),"Diplomatic Security Service")</f>
        <v>Diplomatic Security Service</v>
      </c>
      <c r="D26" s="59" t="str">
        <f>IFERROR(__xludf.DUMMYFUNCTION("""COMPUTED_VALUE"""),"X")</f>
        <v>X</v>
      </c>
      <c r="E26" s="60" t="str">
        <f>IFERROR(__xludf.DUMMYFUNCTION("""COMPUTED_VALUE"""),"https://x.com/StateDeptDSS")</f>
        <v>https://x.com/StateDeptDSS</v>
      </c>
    </row>
    <row r="27">
      <c r="A27" s="59" t="str">
        <f>IFERROR(__xludf.DUMMYFUNCTION("""COMPUTED_VALUE"""),"DS")</f>
        <v>DS</v>
      </c>
      <c r="B27" s="59" t="str">
        <f>IFERROR(__xludf.DUMMYFUNCTION("""COMPUTED_VALUE"""),"United States")</f>
        <v>United States</v>
      </c>
      <c r="C27" s="59" t="str">
        <f>IFERROR(__xludf.DUMMYFUNCTION("""COMPUTED_VALUE"""),"Diplomatic Security Service")</f>
        <v>Diplomatic Security Service</v>
      </c>
      <c r="D27" s="59" t="str">
        <f>IFERROR(__xludf.DUMMYFUNCTION("""COMPUTED_VALUE"""),"YouTube")</f>
        <v>YouTube</v>
      </c>
      <c r="E27" s="60" t="str">
        <f>IFERROR(__xludf.DUMMYFUNCTION("""COMPUTED_VALUE"""),"https://www.youtube.com/@DiplomaticSecurityService")</f>
        <v>https://www.youtube.com/@DiplomaticSecurityService</v>
      </c>
    </row>
    <row r="28">
      <c r="A28" s="59" t="str">
        <f>IFERROR(__xludf.DUMMYFUNCTION("""COMPUTED_VALUE"""),"DS")</f>
        <v>DS</v>
      </c>
      <c r="B28" s="59" t="str">
        <f>IFERROR(__xludf.DUMMYFUNCTION("""COMPUTED_VALUE"""),"United States")</f>
        <v>United States</v>
      </c>
      <c r="C28" s="59" t="str">
        <f>IFERROR(__xludf.DUMMYFUNCTION("""COMPUTED_VALUE"""),"Diplomatic Security Service")</f>
        <v>Diplomatic Security Service</v>
      </c>
      <c r="D28" s="59" t="str">
        <f>IFERROR(__xludf.DUMMYFUNCTION("""COMPUTED_VALUE"""),"LinkedIn")</f>
        <v>LinkedIn</v>
      </c>
      <c r="E28" s="60" t="str">
        <f>IFERROR(__xludf.DUMMYFUNCTION("""COMPUTED_VALUE"""),"https://www.linkedin.com/showcase/diplomatic-security-service/")</f>
        <v>https://www.linkedin.com/showcase/diplomatic-security-service/</v>
      </c>
    </row>
    <row r="29">
      <c r="A29" s="59" t="str">
        <f>IFERROR(__xludf.DUMMYFUNCTION("""COMPUTED_VALUE"""),"DS")</f>
        <v>DS</v>
      </c>
      <c r="B29" s="59" t="str">
        <f>IFERROR(__xludf.DUMMYFUNCTION("""COMPUTED_VALUE"""),"United States")</f>
        <v>United States</v>
      </c>
      <c r="C29" s="59" t="str">
        <f>IFERROR(__xludf.DUMMYFUNCTION("""COMPUTED_VALUE"""),"Diplomatic Security Service")</f>
        <v>Diplomatic Security Service</v>
      </c>
      <c r="D29" s="59" t="str">
        <f>IFERROR(__xludf.DUMMYFUNCTION("""COMPUTED_VALUE"""),"Flickr")</f>
        <v>Flickr</v>
      </c>
      <c r="E29" s="60" t="str">
        <f>IFERROR(__xludf.DUMMYFUNCTION("""COMPUTED_VALUE"""),"https://www.flickr.com/people/statedeptdss/")</f>
        <v>https://www.flickr.com/people/statedeptdss/</v>
      </c>
    </row>
    <row r="30">
      <c r="A30" s="59" t="str">
        <f>IFERROR(__xludf.DUMMYFUNCTION("""COMPUTED_VALUE"""),"DS")</f>
        <v>DS</v>
      </c>
      <c r="B30" s="59" t="str">
        <f>IFERROR(__xludf.DUMMYFUNCTION("""COMPUTED_VALUE"""),"United States")</f>
        <v>United States</v>
      </c>
      <c r="C30" s="59" t="str">
        <f>IFERROR(__xludf.DUMMYFUNCTION("""COMPUTED_VALUE"""),"Overseas Security Advisory Council")</f>
        <v>Overseas Security Advisory Council</v>
      </c>
      <c r="D30" s="59" t="str">
        <f>IFERROR(__xludf.DUMMYFUNCTION("""COMPUTED_VALUE"""),"X")</f>
        <v>X</v>
      </c>
      <c r="E30" s="60" t="str">
        <f>IFERROR(__xludf.DUMMYFUNCTION("""COMPUTED_VALUE"""),"https://x.com/OSACState")</f>
        <v>https://x.com/OSACState</v>
      </c>
    </row>
    <row r="31">
      <c r="A31" s="59" t="str">
        <f>IFERROR(__xludf.DUMMYFUNCTION("""COMPUTED_VALUE"""),"DS")</f>
        <v>DS</v>
      </c>
      <c r="B31" s="59" t="str">
        <f>IFERROR(__xludf.DUMMYFUNCTION("""COMPUTED_VALUE"""),"United States")</f>
        <v>United States</v>
      </c>
      <c r="C31" s="59" t="str">
        <f>IFERROR(__xludf.DUMMYFUNCTION("""COMPUTED_VALUE"""),"Overseas Security Advisory Council")</f>
        <v>Overseas Security Advisory Council</v>
      </c>
      <c r="D31" s="59" t="str">
        <f>IFERROR(__xludf.DUMMYFUNCTION("""COMPUTED_VALUE"""),"LinkedIn")</f>
        <v>LinkedIn</v>
      </c>
      <c r="E31" s="60" t="str">
        <f>IFERROR(__xludf.DUMMYFUNCTION("""COMPUTED_VALUE"""),"https://www.linkedin.com/company/osacgov/")</f>
        <v>https://www.linkedin.com/company/osacgov/</v>
      </c>
    </row>
    <row r="32">
      <c r="A32" s="59" t="str">
        <f>IFERROR(__xludf.DUMMYFUNCTION("""COMPUTED_VALUE"""),"E")</f>
        <v>E</v>
      </c>
      <c r="B32" s="59" t="str">
        <f>IFERROR(__xludf.DUMMYFUNCTION("""COMPUTED_VALUE"""),"United States")</f>
        <v>United States</v>
      </c>
      <c r="C32" s="59" t="str">
        <f>IFERROR(__xludf.DUMMYFUNCTION("""COMPUTED_VALUE"""),"Office of Global Partnerships")</f>
        <v>Office of Global Partnerships</v>
      </c>
      <c r="D32" s="59" t="str">
        <f>IFERROR(__xludf.DUMMYFUNCTION("""COMPUTED_VALUE"""),"Facebook")</f>
        <v>Facebook</v>
      </c>
      <c r="E32" s="60" t="str">
        <f>IFERROR(__xludf.DUMMYFUNCTION("""COMPUTED_VALUE"""),"https://www.facebook.com/GPAtState")</f>
        <v>https://www.facebook.com/GPAtState</v>
      </c>
    </row>
    <row r="33">
      <c r="A33" s="59" t="str">
        <f>IFERROR(__xludf.DUMMYFUNCTION("""COMPUTED_VALUE"""),"E")</f>
        <v>E</v>
      </c>
      <c r="B33" s="59" t="str">
        <f>IFERROR(__xludf.DUMMYFUNCTION("""COMPUTED_VALUE"""),"United States")</f>
        <v>United States</v>
      </c>
      <c r="C33" s="59" t="str">
        <f>IFERROR(__xludf.DUMMYFUNCTION("""COMPUTED_VALUE"""),"Office of Global Partnerships")</f>
        <v>Office of Global Partnerships</v>
      </c>
      <c r="D33" s="59" t="str">
        <f>IFERROR(__xludf.DUMMYFUNCTION("""COMPUTED_VALUE"""),"X")</f>
        <v>X</v>
      </c>
      <c r="E33" s="60" t="str">
        <f>IFERROR(__xludf.DUMMYFUNCTION("""COMPUTED_VALUE"""),"https://x.com/GPatState")</f>
        <v>https://x.com/GPatState</v>
      </c>
    </row>
    <row r="34">
      <c r="A34" s="59" t="str">
        <f>IFERROR(__xludf.DUMMYFUNCTION("""COMPUTED_VALUE"""),"E")</f>
        <v>E</v>
      </c>
      <c r="B34" s="59" t="str">
        <f>IFERROR(__xludf.DUMMYFUNCTION("""COMPUTED_VALUE"""),"United States")</f>
        <v>United States</v>
      </c>
      <c r="C34" s="59" t="str">
        <f>IFERROR(__xludf.DUMMYFUNCTION("""COMPUTED_VALUE"""),"Office of Global Partnerships")</f>
        <v>Office of Global Partnerships</v>
      </c>
      <c r="D34" s="59" t="str">
        <f>IFERROR(__xludf.DUMMYFUNCTION("""COMPUTED_VALUE"""),"LinkedIn")</f>
        <v>LinkedIn</v>
      </c>
      <c r="E34" s="60" t="str">
        <f>IFERROR(__xludf.DUMMYFUNCTION("""COMPUTED_VALUE"""),"https://www.linkedin.com/company/gpatstate/")</f>
        <v>https://www.linkedin.com/company/gpatstate/</v>
      </c>
    </row>
    <row r="35">
      <c r="A35" s="59" t="str">
        <f>IFERROR(__xludf.DUMMYFUNCTION("""COMPUTED_VALUE"""),"E")</f>
        <v>E</v>
      </c>
      <c r="B35" s="59" t="str">
        <f>IFERROR(__xludf.DUMMYFUNCTION("""COMPUTED_VALUE"""),"United States")</f>
        <v>United States</v>
      </c>
      <c r="C35" s="59" t="str">
        <f>IFERROR(__xludf.DUMMYFUNCTION("""COMPUTED_VALUE"""),"Office of the Science and Technology Adviser")</f>
        <v>Office of the Science and Technology Adviser</v>
      </c>
      <c r="D35" s="59" t="str">
        <f>IFERROR(__xludf.DUMMYFUNCTION("""COMPUTED_VALUE"""),"LinkedIn")</f>
        <v>LinkedIn</v>
      </c>
      <c r="E35" s="60" t="str">
        <f>IFERROR(__xludf.DUMMYFUNCTION("""COMPUTED_VALUE"""),"https://www.linkedin.com/company/stas-at-state/")</f>
        <v>https://www.linkedin.com/company/stas-at-state/</v>
      </c>
    </row>
    <row r="36">
      <c r="A36" s="59" t="str">
        <f>IFERROR(__xludf.DUMMYFUNCTION("""COMPUTED_VALUE"""),"E")</f>
        <v>E</v>
      </c>
      <c r="B36" s="59" t="str">
        <f>IFERROR(__xludf.DUMMYFUNCTION("""COMPUTED_VALUE"""),"United States")</f>
        <v>United States</v>
      </c>
      <c r="C36" s="59" t="str">
        <f>IFERROR(__xludf.DUMMYFUNCTION("""COMPUTED_VALUE"""),"Under Secretary of State for Economic Growth, Energy and the Environment")</f>
        <v>Under Secretary of State for Economic Growth, Energy and the Environment</v>
      </c>
      <c r="D36" s="59" t="str">
        <f>IFERROR(__xludf.DUMMYFUNCTION("""COMPUTED_VALUE"""),"LinkedIn")</f>
        <v>LinkedIn</v>
      </c>
      <c r="E36" s="60" t="str">
        <f>IFERROR(__xludf.DUMMYFUNCTION("""COMPUTED_VALUE"""),"https://www.linkedin.com/company/state-e/")</f>
        <v>https://www.linkedin.com/company/state-e/</v>
      </c>
    </row>
    <row r="37">
      <c r="A37" s="59" t="str">
        <f>IFERROR(__xludf.DUMMYFUNCTION("""COMPUTED_VALUE"""),"E")</f>
        <v>E</v>
      </c>
      <c r="B37" s="59" t="str">
        <f>IFERROR(__xludf.DUMMYFUNCTION("""COMPUTED_VALUE"""),"United States")</f>
        <v>United States</v>
      </c>
      <c r="C37" s="59" t="str">
        <f>IFERROR(__xludf.DUMMYFUNCTION("""COMPUTED_VALUE"""),"Under Secretary of State for Economic Growth, Energy and the Environment")</f>
        <v>Under Secretary of State for Economic Growth, Energy and the Environment</v>
      </c>
      <c r="D37" s="59" t="str">
        <f>IFERROR(__xludf.DUMMYFUNCTION("""COMPUTED_VALUE"""),"X")</f>
        <v>X</v>
      </c>
      <c r="E37" s="60" t="str">
        <f>IFERROR(__xludf.DUMMYFUNCTION("""COMPUTED_VALUE"""),"https://x.com/State_E")</f>
        <v>https://x.com/State_E</v>
      </c>
    </row>
    <row r="38">
      <c r="A38" s="59" t="str">
        <f>IFERROR(__xludf.DUMMYFUNCTION("""COMPUTED_VALUE"""),"E")</f>
        <v>E</v>
      </c>
      <c r="B38" s="59" t="str">
        <f>IFERROR(__xludf.DUMMYFUNCTION("""COMPUTED_VALUE"""),"United States")</f>
        <v>United States</v>
      </c>
      <c r="C38" s="59" t="str">
        <f>IFERROR(__xludf.DUMMYFUNCTION("""COMPUTED_VALUE"""),"Under Secretary of State for Economic Growth, Energy and the Environment")</f>
        <v>Under Secretary of State for Economic Growth, Energy and the Environment</v>
      </c>
      <c r="D38" s="59" t="str">
        <f>IFERROR(__xludf.DUMMYFUNCTION("""COMPUTED_VALUE"""),"Facebook")</f>
        <v>Facebook</v>
      </c>
      <c r="E38" s="60" t="str">
        <f>IFERROR(__xludf.DUMMYFUNCTION("""COMPUTED_VALUE"""),"https://www.facebook.com/StateDeptE/")</f>
        <v>https://www.facebook.com/StateDeptE/</v>
      </c>
    </row>
    <row r="39">
      <c r="A39" s="59" t="str">
        <f>IFERROR(__xludf.DUMMYFUNCTION("""COMPUTED_VALUE"""),"EB")</f>
        <v>EB</v>
      </c>
      <c r="B39" s="59" t="str">
        <f>IFERROR(__xludf.DUMMYFUNCTION("""COMPUTED_VALUE"""),"United States")</f>
        <v>United States</v>
      </c>
      <c r="C39" s="59" t="str">
        <f>IFERROR(__xludf.DUMMYFUNCTION("""COMPUTED_VALUE"""),"Bureau of Economic and Business Affairs")</f>
        <v>Bureau of Economic and Business Affairs</v>
      </c>
      <c r="D39" s="59" t="str">
        <f>IFERROR(__xludf.DUMMYFUNCTION("""COMPUTED_VALUE"""),"Facebook")</f>
        <v>Facebook</v>
      </c>
      <c r="E39" s="60" t="str">
        <f>IFERROR(__xludf.DUMMYFUNCTION("""COMPUTED_VALUE"""),"https://www.facebook.com/EconAtState")</f>
        <v>https://www.facebook.com/EconAtState</v>
      </c>
    </row>
    <row r="40">
      <c r="A40" s="59" t="str">
        <f>IFERROR(__xludf.DUMMYFUNCTION("""COMPUTED_VALUE"""),"EB")</f>
        <v>EB</v>
      </c>
      <c r="B40" s="59" t="str">
        <f>IFERROR(__xludf.DUMMYFUNCTION("""COMPUTED_VALUE"""),"United States")</f>
        <v>United States</v>
      </c>
      <c r="C40" s="59" t="str">
        <f>IFERROR(__xludf.DUMMYFUNCTION("""COMPUTED_VALUE"""),"Bureau of Economic and Business Affairs")</f>
        <v>Bureau of Economic and Business Affairs</v>
      </c>
      <c r="D40" s="59" t="str">
        <f>IFERROR(__xludf.DUMMYFUNCTION("""COMPUTED_VALUE"""),"LinkedIn")</f>
        <v>LinkedIn</v>
      </c>
      <c r="E40" s="60" t="str">
        <f>IFERROR(__xludf.DUMMYFUNCTION("""COMPUTED_VALUE"""),"https://www.linkedin.com/company/econatstate/")</f>
        <v>https://www.linkedin.com/company/econatstate/</v>
      </c>
    </row>
    <row r="41">
      <c r="A41" s="59" t="str">
        <f>IFERROR(__xludf.DUMMYFUNCTION("""COMPUTED_VALUE"""),"EB")</f>
        <v>EB</v>
      </c>
      <c r="B41" s="59" t="str">
        <f>IFERROR(__xludf.DUMMYFUNCTION("""COMPUTED_VALUE"""),"United States")</f>
        <v>United States</v>
      </c>
      <c r="C41" s="59" t="str">
        <f>IFERROR(__xludf.DUMMYFUNCTION("""COMPUTED_VALUE"""),"Bureau of Economic and Business Affairs")</f>
        <v>Bureau of Economic and Business Affairs</v>
      </c>
      <c r="D41" s="59" t="str">
        <f>IFERROR(__xludf.DUMMYFUNCTION("""COMPUTED_VALUE"""),"X")</f>
        <v>X</v>
      </c>
      <c r="E41" s="60" t="str">
        <f>IFERROR(__xludf.DUMMYFUNCTION("""COMPUTED_VALUE"""),"https://x.com/EconAtState")</f>
        <v>https://x.com/EconAtState</v>
      </c>
    </row>
    <row r="42">
      <c r="A42" s="59" t="str">
        <f>IFERROR(__xludf.DUMMYFUNCTION("""COMPUTED_VALUE"""),"EB")</f>
        <v>EB</v>
      </c>
      <c r="B42" s="59" t="str">
        <f>IFERROR(__xludf.DUMMYFUNCTION("""COMPUTED_VALUE"""),"United States")</f>
        <v>United States</v>
      </c>
      <c r="C42" s="59" t="str">
        <f>IFERROR(__xludf.DUMMYFUNCTION("""COMPUTED_VALUE"""),"Office of Science and Technology Adviser to Secretary")</f>
        <v>Office of Science and Technology Adviser to Secretary</v>
      </c>
      <c r="D42" s="59" t="str">
        <f>IFERROR(__xludf.DUMMYFUNCTION("""COMPUTED_VALUE"""),"X")</f>
        <v>X</v>
      </c>
      <c r="E42" s="60" t="str">
        <f>IFERROR(__xludf.DUMMYFUNCTION("""COMPUTED_VALUE"""),"https://x.com/STASatState")</f>
        <v>https://x.com/STASatState</v>
      </c>
    </row>
    <row r="43">
      <c r="A43" s="59" t="str">
        <f>IFERROR(__xludf.DUMMYFUNCTION("""COMPUTED_VALUE"""),"EB")</f>
        <v>EB</v>
      </c>
      <c r="B43" s="59" t="str">
        <f>IFERROR(__xludf.DUMMYFUNCTION("""COMPUTED_VALUE"""),"United States")</f>
        <v>United States</v>
      </c>
      <c r="C43" s="59" t="str">
        <f>IFERROR(__xludf.DUMMYFUNCTION("""COMPUTED_VALUE"""),"Special Representative for Commercial and Business Affairs")</f>
        <v>Special Representative for Commercial and Business Affairs</v>
      </c>
      <c r="D43" s="59" t="str">
        <f>IFERROR(__xludf.DUMMYFUNCTION("""COMPUTED_VALUE"""),"X")</f>
        <v>X</v>
      </c>
      <c r="E43" s="60" t="str">
        <f>IFERROR(__xludf.DUMMYFUNCTION("""COMPUTED_VALUE"""),"https://x.com/BizAtState")</f>
        <v>https://x.com/BizAtState</v>
      </c>
    </row>
    <row r="44">
      <c r="A44" s="59" t="str">
        <f>IFERROR(__xludf.DUMMYFUNCTION("""COMPUTED_VALUE"""),"EB")</f>
        <v>EB</v>
      </c>
      <c r="B44" s="59" t="str">
        <f>IFERROR(__xludf.DUMMYFUNCTION("""COMPUTED_VALUE"""),"United States")</f>
        <v>United States</v>
      </c>
      <c r="C44" s="59" t="str">
        <f>IFERROR(__xludf.DUMMYFUNCTION("""COMPUTED_VALUE"""),"Special Representative for Commercial and Business Affairs")</f>
        <v>Special Representative for Commercial and Business Affairs</v>
      </c>
      <c r="D44" s="59" t="str">
        <f>IFERROR(__xludf.DUMMYFUNCTION("""COMPUTED_VALUE"""),"LinkedIn")</f>
        <v>LinkedIn</v>
      </c>
      <c r="E44" s="60" t="str">
        <f>IFERROR(__xludf.DUMMYFUNCTION("""COMPUTED_VALUE"""),"https://www.linkedin.com/company/bizatstate/")</f>
        <v>https://www.linkedin.com/company/bizatstate/</v>
      </c>
    </row>
    <row r="45">
      <c r="A45" s="59" t="str">
        <f>IFERROR(__xludf.DUMMYFUNCTION("""COMPUTED_VALUE"""),"ECA")</f>
        <v>ECA</v>
      </c>
      <c r="B45" s="59" t="str">
        <f>IFERROR(__xludf.DUMMYFUNCTION("""COMPUTED_VALUE"""),"United States")</f>
        <v>United States</v>
      </c>
      <c r="C45" s="59" t="str">
        <f>IFERROR(__xludf.DUMMYFUNCTION("""COMPUTED_VALUE"""),"Ambassadors Fund for Cultural Preservation")</f>
        <v>Ambassadors Fund for Cultural Preservation</v>
      </c>
      <c r="D45" s="59" t="str">
        <f>IFERROR(__xludf.DUMMYFUNCTION("""COMPUTED_VALUE"""),"Facebook")</f>
        <v>Facebook</v>
      </c>
      <c r="E45" s="60" t="str">
        <f>IFERROR(__xludf.DUMMYFUNCTION("""COMPUTED_VALUE"""),"https://www.facebook.com/usafcp/")</f>
        <v>https://www.facebook.com/usafcp/</v>
      </c>
    </row>
    <row r="46">
      <c r="A46" s="59" t="str">
        <f>IFERROR(__xludf.DUMMYFUNCTION("""COMPUTED_VALUE"""),"ECA")</f>
        <v>ECA</v>
      </c>
      <c r="B46" s="59" t="str">
        <f>IFERROR(__xludf.DUMMYFUNCTION("""COMPUTED_VALUE"""),"United States")</f>
        <v>United States</v>
      </c>
      <c r="C46" s="59" t="str">
        <f>IFERROR(__xludf.DUMMYFUNCTION("""COMPUTED_VALUE"""),"American English")</f>
        <v>American English</v>
      </c>
      <c r="D46" s="59" t="str">
        <f>IFERROR(__xludf.DUMMYFUNCTION("""COMPUTED_VALUE"""),"Facebook")</f>
        <v>Facebook</v>
      </c>
      <c r="E46" s="60" t="str">
        <f>IFERROR(__xludf.DUMMYFUNCTION("""COMPUTED_VALUE"""),"https://www.facebook.com/AmericanEnglishatState/")</f>
        <v>https://www.facebook.com/AmericanEnglishatState/</v>
      </c>
    </row>
    <row r="47">
      <c r="A47" s="59" t="str">
        <f>IFERROR(__xludf.DUMMYFUNCTION("""COMPUTED_VALUE"""),"ECA")</f>
        <v>ECA</v>
      </c>
      <c r="B47" s="59" t="str">
        <f>IFERROR(__xludf.DUMMYFUNCTION("""COMPUTED_VALUE"""),"United States")</f>
        <v>United States</v>
      </c>
      <c r="C47" s="59" t="str">
        <f>IFERROR(__xludf.DUMMYFUNCTION("""COMPUTED_VALUE"""),"American English for Educators")</f>
        <v>American English for Educators</v>
      </c>
      <c r="D47" s="59" t="str">
        <f>IFERROR(__xludf.DUMMYFUNCTION("""COMPUTED_VALUE"""),"Facebook")</f>
        <v>Facebook</v>
      </c>
      <c r="E47" s="60" t="str">
        <f>IFERROR(__xludf.DUMMYFUNCTION("""COMPUTED_VALUE"""),"https://www.facebook.com/AmericanEnglishforEducators")</f>
        <v>https://www.facebook.com/AmericanEnglishforEducators</v>
      </c>
    </row>
    <row r="48">
      <c r="A48" s="59" t="str">
        <f>IFERROR(__xludf.DUMMYFUNCTION("""COMPUTED_VALUE"""),"ECA")</f>
        <v>ECA</v>
      </c>
      <c r="B48" s="59" t="str">
        <f>IFERROR(__xludf.DUMMYFUNCTION("""COMPUTED_VALUE"""),"United States")</f>
        <v>United States</v>
      </c>
      <c r="C48" s="59" t="str">
        <f>IFERROR(__xludf.DUMMYFUNCTION("""COMPUTED_VALUE"""),"American English")</f>
        <v>American English</v>
      </c>
      <c r="D48" s="59" t="str">
        <f>IFERROR(__xludf.DUMMYFUNCTION("""COMPUTED_VALUE"""),"YouTube")</f>
        <v>YouTube</v>
      </c>
      <c r="E48" s="60" t="str">
        <f>IFERROR(__xludf.DUMMYFUNCTION("""COMPUTED_VALUE"""),"https://www.youtube.com/user/StateAmericanEnglish")</f>
        <v>https://www.youtube.com/user/StateAmericanEnglish</v>
      </c>
    </row>
    <row r="49">
      <c r="A49" s="59" t="str">
        <f>IFERROR(__xludf.DUMMYFUNCTION("""COMPUTED_VALUE"""),"ECA")</f>
        <v>ECA</v>
      </c>
      <c r="B49" s="59" t="str">
        <f>IFERROR(__xludf.DUMMYFUNCTION("""COMPUTED_VALUE"""),"United States")</f>
        <v>United States</v>
      </c>
      <c r="C49" s="59" t="str">
        <f>IFERROR(__xludf.DUMMYFUNCTION("""COMPUTED_VALUE"""),"American Spaces")</f>
        <v>American Spaces</v>
      </c>
      <c r="D49" s="59" t="str">
        <f>IFERROR(__xludf.DUMMYFUNCTION("""COMPUTED_VALUE"""),"X")</f>
        <v>X</v>
      </c>
      <c r="E49" s="60" t="str">
        <f>IFERROR(__xludf.DUMMYFUNCTION("""COMPUTED_VALUE"""),"https://x.com/AmericanSpaces")</f>
        <v>https://x.com/AmericanSpaces</v>
      </c>
    </row>
    <row r="50">
      <c r="A50" s="59" t="str">
        <f>IFERROR(__xludf.DUMMYFUNCTION("""COMPUTED_VALUE"""),"ECA")</f>
        <v>ECA</v>
      </c>
      <c r="B50" s="59" t="str">
        <f>IFERROR(__xludf.DUMMYFUNCTION("""COMPUTED_VALUE"""),"United States")</f>
        <v>United States</v>
      </c>
      <c r="C50" s="59" t="str">
        <f>IFERROR(__xludf.DUMMYFUNCTION("""COMPUTED_VALUE"""),"Assistant Secretary of State Bureau of Educational and Cultural Affairs")</f>
        <v>Assistant Secretary of State Bureau of Educational and Cultural Affairs</v>
      </c>
      <c r="D50" s="59" t="str">
        <f>IFERROR(__xludf.DUMMYFUNCTION("""COMPUTED_VALUE"""),"X")</f>
        <v>X</v>
      </c>
      <c r="E50" s="60" t="str">
        <f>IFERROR(__xludf.DUMMYFUNCTION("""COMPUTED_VALUE"""),"https://x.com/ECA_AS")</f>
        <v>https://x.com/ECA_AS</v>
      </c>
    </row>
    <row r="51">
      <c r="A51" s="59" t="str">
        <f>IFERROR(__xludf.DUMMYFUNCTION("""COMPUTED_VALUE"""),"ECA")</f>
        <v>ECA</v>
      </c>
      <c r="B51" s="59" t="str">
        <f>IFERROR(__xludf.DUMMYFUNCTION("""COMPUTED_VALUE"""),"United States")</f>
        <v>United States</v>
      </c>
      <c r="C51" s="59" t="str">
        <f>IFERROR(__xludf.DUMMYFUNCTION("""COMPUTED_VALUE"""),"Bureau of Educational and Cultural Affairs")</f>
        <v>Bureau of Educational and Cultural Affairs</v>
      </c>
      <c r="D51" s="59" t="str">
        <f>IFERROR(__xludf.DUMMYFUNCTION("""COMPUTED_VALUE"""),"Facebook")</f>
        <v>Facebook</v>
      </c>
      <c r="E51" s="60" t="str">
        <f>IFERROR(__xludf.DUMMYFUNCTION("""COMPUTED_VALUE"""),"https://www.facebook.com/ExchangeProgramsAtState")</f>
        <v>https://www.facebook.com/ExchangeProgramsAtState</v>
      </c>
    </row>
    <row r="52">
      <c r="A52" s="59" t="str">
        <f>IFERROR(__xludf.DUMMYFUNCTION("""COMPUTED_VALUE"""),"ECA")</f>
        <v>ECA</v>
      </c>
      <c r="B52" s="59" t="str">
        <f>IFERROR(__xludf.DUMMYFUNCTION("""COMPUTED_VALUE"""),"United States")</f>
        <v>United States</v>
      </c>
      <c r="C52" s="59" t="str">
        <f>IFERROR(__xludf.DUMMYFUNCTION("""COMPUTED_VALUE"""),"Bureau of Educational and Cultural Affairs")</f>
        <v>Bureau of Educational and Cultural Affairs</v>
      </c>
      <c r="D52" s="59" t="str">
        <f>IFERROR(__xludf.DUMMYFUNCTION("""COMPUTED_VALUE"""),"Instagram")</f>
        <v>Instagram</v>
      </c>
      <c r="E52" s="60" t="str">
        <f>IFERROR(__xludf.DUMMYFUNCTION("""COMPUTED_VALUE"""),"https://www.instagram.com/exchangeourworld")</f>
        <v>https://www.instagram.com/exchangeourworld</v>
      </c>
    </row>
    <row r="53">
      <c r="A53" s="59" t="str">
        <f>IFERROR(__xludf.DUMMYFUNCTION("""COMPUTED_VALUE"""),"ECA")</f>
        <v>ECA</v>
      </c>
      <c r="B53" s="59" t="str">
        <f>IFERROR(__xludf.DUMMYFUNCTION("""COMPUTED_VALUE"""),"United States")</f>
        <v>United States</v>
      </c>
      <c r="C53" s="59" t="str">
        <f>IFERROR(__xludf.DUMMYFUNCTION("""COMPUTED_VALUE"""),"Bureau of Educational and Cultural Affairs")</f>
        <v>Bureau of Educational and Cultural Affairs</v>
      </c>
      <c r="D53" s="59" t="str">
        <f>IFERROR(__xludf.DUMMYFUNCTION("""COMPUTED_VALUE"""),"X")</f>
        <v>X</v>
      </c>
      <c r="E53" s="60" t="str">
        <f>IFERROR(__xludf.DUMMYFUNCTION("""COMPUTED_VALUE"""),"https://x.com/ECAatState")</f>
        <v>https://x.com/ECAatState</v>
      </c>
    </row>
    <row r="54">
      <c r="A54" s="59" t="str">
        <f>IFERROR(__xludf.DUMMYFUNCTION("""COMPUTED_VALUE"""),"ECA")</f>
        <v>ECA</v>
      </c>
      <c r="B54" s="59" t="str">
        <f>IFERROR(__xludf.DUMMYFUNCTION("""COMPUTED_VALUE"""),"United States")</f>
        <v>United States</v>
      </c>
      <c r="C54" s="59" t="str">
        <f>IFERROR(__xludf.DUMMYFUNCTION("""COMPUTED_VALUE"""),"Bureau of Educational and Cultural Affairs")</f>
        <v>Bureau of Educational and Cultural Affairs</v>
      </c>
      <c r="D54" s="59" t="str">
        <f>IFERROR(__xludf.DUMMYFUNCTION("""COMPUTED_VALUE"""),"YouTube")</f>
        <v>YouTube</v>
      </c>
      <c r="E54" s="60" t="str">
        <f>IFERROR(__xludf.DUMMYFUNCTION("""COMPUTED_VALUE"""),"https://www.youtube.com/user/exchangesvideo")</f>
        <v>https://www.youtube.com/user/exchangesvideo</v>
      </c>
    </row>
    <row r="55">
      <c r="A55" s="59" t="str">
        <f>IFERROR(__xludf.DUMMYFUNCTION("""COMPUTED_VALUE"""),"ECA")</f>
        <v>ECA</v>
      </c>
      <c r="B55" s="59" t="str">
        <f>IFERROR(__xludf.DUMMYFUNCTION("""COMPUTED_VALUE"""),"United States")</f>
        <v>United States</v>
      </c>
      <c r="C55" s="59" t="str">
        <f>IFERROR(__xludf.DUMMYFUNCTION("""COMPUTED_VALUE"""),"Bureau of Educational and Cultural Affairs")</f>
        <v>Bureau of Educational and Cultural Affairs</v>
      </c>
      <c r="D55" s="59" t="str">
        <f>IFERROR(__xludf.DUMMYFUNCTION("""COMPUTED_VALUE"""),"Flickr")</f>
        <v>Flickr</v>
      </c>
      <c r="E55" s="60" t="str">
        <f>IFERROR(__xludf.DUMMYFUNCTION("""COMPUTED_VALUE"""),"https://www.flickr.com/photos/exchangesphotos/")</f>
        <v>https://www.flickr.com/photos/exchangesphotos/</v>
      </c>
    </row>
    <row r="56">
      <c r="A56" s="59" t="str">
        <f>IFERROR(__xludf.DUMMYFUNCTION("""COMPUTED_VALUE"""),"ECA")</f>
        <v>ECA</v>
      </c>
      <c r="B56" s="59" t="str">
        <f>IFERROR(__xludf.DUMMYFUNCTION("""COMPUTED_VALUE"""),"United States")</f>
        <v>United States</v>
      </c>
      <c r="C56" s="59" t="str">
        <f>IFERROR(__xludf.DUMMYFUNCTION("""COMPUTED_VALUE"""),"Cultural Heritage")</f>
        <v>Cultural Heritage</v>
      </c>
      <c r="D56" s="59" t="str">
        <f>IFERROR(__xludf.DUMMYFUNCTION("""COMPUTED_VALUE"""),"X")</f>
        <v>X</v>
      </c>
      <c r="E56" s="60" t="str">
        <f>IFERROR(__xludf.DUMMYFUNCTION("""COMPUTED_VALUE"""),"https://x.com/HeritageAtState")</f>
        <v>https://x.com/HeritageAtState</v>
      </c>
    </row>
    <row r="57">
      <c r="A57" s="59" t="str">
        <f>IFERROR(__xludf.DUMMYFUNCTION("""COMPUTED_VALUE"""),"ECA")</f>
        <v>ECA</v>
      </c>
      <c r="B57" s="59" t="str">
        <f>IFERROR(__xludf.DUMMYFUNCTION("""COMPUTED_VALUE"""),"United States")</f>
        <v>United States</v>
      </c>
      <c r="C57" s="59" t="str">
        <f>IFERROR(__xludf.DUMMYFUNCTION("""COMPUTED_VALUE"""),"Cultural Programs Division")</f>
        <v>Cultural Programs Division</v>
      </c>
      <c r="D57" s="59" t="str">
        <f>IFERROR(__xludf.DUMMYFUNCTION("""COMPUTED_VALUE"""),"X")</f>
        <v>X</v>
      </c>
      <c r="E57" s="60" t="str">
        <f>IFERROR(__xludf.DUMMYFUNCTION("""COMPUTED_VALUE"""),"https://x.com/CultureAtState")</f>
        <v>https://x.com/CultureAtState</v>
      </c>
    </row>
    <row r="58">
      <c r="A58" s="59" t="str">
        <f>IFERROR(__xludf.DUMMYFUNCTION("""COMPUTED_VALUE"""),"ECA")</f>
        <v>ECA</v>
      </c>
      <c r="B58" s="59" t="str">
        <f>IFERROR(__xludf.DUMMYFUNCTION("""COMPUTED_VALUE"""),"United States")</f>
        <v>United States</v>
      </c>
      <c r="C58" s="59" t="str">
        <f>IFERROR(__xludf.DUMMYFUNCTION("""COMPUTED_VALUE"""),"EducationUSA")</f>
        <v>EducationUSA</v>
      </c>
      <c r="D58" s="59" t="str">
        <f>IFERROR(__xludf.DUMMYFUNCTION("""COMPUTED_VALUE"""),"Facebook")</f>
        <v>Facebook</v>
      </c>
      <c r="E58" s="60" t="str">
        <f>IFERROR(__xludf.DUMMYFUNCTION("""COMPUTED_VALUE"""),"https://www.facebook.com/EducationUSA/")</f>
        <v>https://www.facebook.com/EducationUSA/</v>
      </c>
    </row>
    <row r="59">
      <c r="A59" s="59" t="str">
        <f>IFERROR(__xludf.DUMMYFUNCTION("""COMPUTED_VALUE"""),"ECA")</f>
        <v>ECA</v>
      </c>
      <c r="B59" s="59" t="str">
        <f>IFERROR(__xludf.DUMMYFUNCTION("""COMPUTED_VALUE"""),"United States")</f>
        <v>United States</v>
      </c>
      <c r="C59" s="59" t="str">
        <f>IFERROR(__xludf.DUMMYFUNCTION("""COMPUTED_VALUE"""),"EducationUSA")</f>
        <v>EducationUSA</v>
      </c>
      <c r="D59" s="59" t="str">
        <f>IFERROR(__xludf.DUMMYFUNCTION("""COMPUTED_VALUE"""),"Instagram")</f>
        <v>Instagram</v>
      </c>
      <c r="E59" s="60" t="str">
        <f>IFERROR(__xludf.DUMMYFUNCTION("""COMPUTED_VALUE"""),"https://www.instagram.com/educationusa/")</f>
        <v>https://www.instagram.com/educationusa/</v>
      </c>
    </row>
    <row r="60">
      <c r="A60" s="59" t="str">
        <f>IFERROR(__xludf.DUMMYFUNCTION("""COMPUTED_VALUE"""),"ECA")</f>
        <v>ECA</v>
      </c>
      <c r="B60" s="59" t="str">
        <f>IFERROR(__xludf.DUMMYFUNCTION("""COMPUTED_VALUE"""),"United States")</f>
        <v>United States</v>
      </c>
      <c r="C60" s="59" t="str">
        <f>IFERROR(__xludf.DUMMYFUNCTION("""COMPUTED_VALUE"""),"EducationUSA")</f>
        <v>EducationUSA</v>
      </c>
      <c r="D60" s="59" t="str">
        <f>IFERROR(__xludf.DUMMYFUNCTION("""COMPUTED_VALUE"""),"X")</f>
        <v>X</v>
      </c>
      <c r="E60" s="60" t="str">
        <f>IFERROR(__xludf.DUMMYFUNCTION("""COMPUTED_VALUE"""),"https://x.com/educationusa")</f>
        <v>https://x.com/educationusa</v>
      </c>
    </row>
    <row r="61">
      <c r="A61" s="59" t="str">
        <f>IFERROR(__xludf.DUMMYFUNCTION("""COMPUTED_VALUE"""),"ECA")</f>
        <v>ECA</v>
      </c>
      <c r="B61" s="59" t="str">
        <f>IFERROR(__xludf.DUMMYFUNCTION("""COMPUTED_VALUE"""),"United States")</f>
        <v>United States</v>
      </c>
      <c r="C61" s="59" t="str">
        <f>IFERROR(__xludf.DUMMYFUNCTION("""COMPUTED_VALUE"""),"EducationUSA")</f>
        <v>EducationUSA</v>
      </c>
      <c r="D61" s="59" t="str">
        <f>IFERROR(__xludf.DUMMYFUNCTION("""COMPUTED_VALUE"""),"LinkedIn")</f>
        <v>LinkedIn</v>
      </c>
      <c r="E61" s="60" t="str">
        <f>IFERROR(__xludf.DUMMYFUNCTION("""COMPUTED_VALUE"""),"https://www.linkedin.com/company/educationusa/")</f>
        <v>https://www.linkedin.com/company/educationusa/</v>
      </c>
    </row>
    <row r="62">
      <c r="A62" s="59" t="str">
        <f>IFERROR(__xludf.DUMMYFUNCTION("""COMPUTED_VALUE"""),"ECA")</f>
        <v>ECA</v>
      </c>
      <c r="B62" s="59" t="str">
        <f>IFERROR(__xludf.DUMMYFUNCTION("""COMPUTED_VALUE"""),"United States")</f>
        <v>United States</v>
      </c>
      <c r="C62" s="59" t="str">
        <f>IFERROR(__xludf.DUMMYFUNCTION("""COMPUTED_VALUE"""),"EducationUSA")</f>
        <v>EducationUSA</v>
      </c>
      <c r="D62" s="59" t="str">
        <f>IFERROR(__xludf.DUMMYFUNCTION("""COMPUTED_VALUE"""),"YouTube")</f>
        <v>YouTube</v>
      </c>
      <c r="E62" s="60" t="str">
        <f>IFERROR(__xludf.DUMMYFUNCTION("""COMPUTED_VALUE"""),"https://www.youtube.com/user/EducationUSAtv")</f>
        <v>https://www.youtube.com/user/EducationUSAtv</v>
      </c>
    </row>
    <row r="63">
      <c r="A63" s="59" t="str">
        <f>IFERROR(__xludf.DUMMYFUNCTION("""COMPUTED_VALUE"""),"ECA")</f>
        <v>ECA</v>
      </c>
      <c r="B63" s="59" t="str">
        <f>IFERROR(__xludf.DUMMYFUNCTION("""COMPUTED_VALUE"""),"United States")</f>
        <v>United States</v>
      </c>
      <c r="C63" s="59" t="str">
        <f>IFERROR(__xludf.DUMMYFUNCTION("""COMPUTED_VALUE"""),"English Language Programs")</f>
        <v>English Language Programs</v>
      </c>
      <c r="D63" s="59" t="str">
        <f>IFERROR(__xludf.DUMMYFUNCTION("""COMPUTED_VALUE"""),"X")</f>
        <v>X</v>
      </c>
      <c r="E63" s="60" t="str">
        <f>IFERROR(__xludf.DUMMYFUNCTION("""COMPUTED_VALUE"""),"https://x.com/ELPrograms")</f>
        <v>https://x.com/ELPrograms</v>
      </c>
    </row>
    <row r="64">
      <c r="A64" s="59" t="str">
        <f>IFERROR(__xludf.DUMMYFUNCTION("""COMPUTED_VALUE"""),"ECA")</f>
        <v>ECA</v>
      </c>
      <c r="B64" s="59" t="str">
        <f>IFERROR(__xludf.DUMMYFUNCTION("""COMPUTED_VALUE"""),"United States")</f>
        <v>United States</v>
      </c>
      <c r="C64" s="59" t="str">
        <f>IFERROR(__xludf.DUMMYFUNCTION("""COMPUTED_VALUE"""),"International Exchange Alumni")</f>
        <v>International Exchange Alumni</v>
      </c>
      <c r="D64" s="59" t="str">
        <f>IFERROR(__xludf.DUMMYFUNCTION("""COMPUTED_VALUE"""),"Facebook")</f>
        <v>Facebook</v>
      </c>
      <c r="E64" s="60" t="str">
        <f>IFERROR(__xludf.DUMMYFUNCTION("""COMPUTED_VALUE"""),"https://www.facebook.com/InternationalExchangeAlumni")</f>
        <v>https://www.facebook.com/InternationalExchangeAlumni</v>
      </c>
    </row>
    <row r="65">
      <c r="A65" s="59" t="str">
        <f>IFERROR(__xludf.DUMMYFUNCTION("""COMPUTED_VALUE"""),"ECA")</f>
        <v>ECA</v>
      </c>
      <c r="B65" s="59" t="str">
        <f>IFERROR(__xludf.DUMMYFUNCTION("""COMPUTED_VALUE"""),"United States")</f>
        <v>United States</v>
      </c>
      <c r="C65" s="59" t="str">
        <f>IFERROR(__xludf.DUMMYFUNCTION("""COMPUTED_VALUE"""),"International Exchange Alumni")</f>
        <v>International Exchange Alumni</v>
      </c>
      <c r="D65" s="59" t="str">
        <f>IFERROR(__xludf.DUMMYFUNCTION("""COMPUTED_VALUE"""),"Instagram")</f>
        <v>Instagram</v>
      </c>
      <c r="E65" s="60" t="str">
        <f>IFERROR(__xludf.DUMMYFUNCTION("""COMPUTED_VALUE"""),"https://www.instagram.com/voicesofexchange/")</f>
        <v>https://www.instagram.com/voicesofexchange/</v>
      </c>
    </row>
    <row r="66">
      <c r="A66" s="59" t="str">
        <f>IFERROR(__xludf.DUMMYFUNCTION("""COMPUTED_VALUE"""),"ECA")</f>
        <v>ECA</v>
      </c>
      <c r="B66" s="59" t="str">
        <f>IFERROR(__xludf.DUMMYFUNCTION("""COMPUTED_VALUE"""),"United States")</f>
        <v>United States</v>
      </c>
      <c r="C66" s="59" t="str">
        <f>IFERROR(__xludf.DUMMYFUNCTION("""COMPUTED_VALUE"""),"International Exchange Alumni")</f>
        <v>International Exchange Alumni</v>
      </c>
      <c r="D66" s="59" t="str">
        <f>IFERROR(__xludf.DUMMYFUNCTION("""COMPUTED_VALUE"""),"X")</f>
        <v>X</v>
      </c>
      <c r="E66" s="60" t="str">
        <f>IFERROR(__xludf.DUMMYFUNCTION("""COMPUTED_VALUE"""),"https://x.com/exchangealumni")</f>
        <v>https://x.com/exchangealumni</v>
      </c>
    </row>
    <row r="67">
      <c r="A67" s="59" t="str">
        <f>IFERROR(__xludf.DUMMYFUNCTION("""COMPUTED_VALUE"""),"ECA")</f>
        <v>ECA</v>
      </c>
      <c r="B67" s="59" t="str">
        <f>IFERROR(__xludf.DUMMYFUNCTION("""COMPUTED_VALUE"""),"United States")</f>
        <v>United States</v>
      </c>
      <c r="C67" s="59" t="str">
        <f>IFERROR(__xludf.DUMMYFUNCTION("""COMPUTED_VALUE"""),"International Exchange Alumni")</f>
        <v>International Exchange Alumni</v>
      </c>
      <c r="D67" s="59" t="str">
        <f>IFERROR(__xludf.DUMMYFUNCTION("""COMPUTED_VALUE"""),"LinkedIn")</f>
        <v>LinkedIn</v>
      </c>
      <c r="E67" s="60" t="str">
        <f>IFERROR(__xludf.DUMMYFUNCTION("""COMPUTED_VALUE"""),"https://www.linkedin.com/company/exchangealumni/")</f>
        <v>https://www.linkedin.com/company/exchangealumni/</v>
      </c>
    </row>
    <row r="68">
      <c r="A68" s="59" t="str">
        <f>IFERROR(__xludf.DUMMYFUNCTION("""COMPUTED_VALUE"""),"ECA")</f>
        <v>ECA</v>
      </c>
      <c r="B68" s="59" t="str">
        <f>IFERROR(__xludf.DUMMYFUNCTION("""COMPUTED_VALUE"""),"United States")</f>
        <v>United States</v>
      </c>
      <c r="C68" s="59" t="str">
        <f>IFERROR(__xludf.DUMMYFUNCTION("""COMPUTED_VALUE"""),"International Visitor Leadership Program")</f>
        <v>International Visitor Leadership Program</v>
      </c>
      <c r="D68" s="59" t="str">
        <f>IFERROR(__xludf.DUMMYFUNCTION("""COMPUTED_VALUE"""),"Facebook")</f>
        <v>Facebook</v>
      </c>
      <c r="E68" s="60" t="str">
        <f>IFERROR(__xludf.DUMMYFUNCTION("""COMPUTED_VALUE"""),"https://www.facebook.com/StateIVLP")</f>
        <v>https://www.facebook.com/StateIVLP</v>
      </c>
    </row>
    <row r="69">
      <c r="A69" s="59" t="str">
        <f>IFERROR(__xludf.DUMMYFUNCTION("""COMPUTED_VALUE"""),"ECA")</f>
        <v>ECA</v>
      </c>
      <c r="B69" s="59" t="str">
        <f>IFERROR(__xludf.DUMMYFUNCTION("""COMPUTED_VALUE"""),"United States")</f>
        <v>United States</v>
      </c>
      <c r="C69" s="59" t="str">
        <f>IFERROR(__xludf.DUMMYFUNCTION("""COMPUTED_VALUE"""),"International Visitor Leadership Program")</f>
        <v>International Visitor Leadership Program</v>
      </c>
      <c r="D69" s="59" t="str">
        <f>IFERROR(__xludf.DUMMYFUNCTION("""COMPUTED_VALUE"""),"Instagram")</f>
        <v>Instagram</v>
      </c>
      <c r="E69" s="60" t="str">
        <f>IFERROR(__xludf.DUMMYFUNCTION("""COMPUTED_VALUE"""),"https://www.instagram.com/StateIVLP/")</f>
        <v>https://www.instagram.com/StateIVLP/</v>
      </c>
    </row>
    <row r="70">
      <c r="A70" s="59" t="str">
        <f>IFERROR(__xludf.DUMMYFUNCTION("""COMPUTED_VALUE"""),"ECA")</f>
        <v>ECA</v>
      </c>
      <c r="B70" s="59" t="str">
        <f>IFERROR(__xludf.DUMMYFUNCTION("""COMPUTED_VALUE"""),"United States")</f>
        <v>United States</v>
      </c>
      <c r="C70" s="59" t="str">
        <f>IFERROR(__xludf.DUMMYFUNCTION("""COMPUTED_VALUE"""),"International Visitor Leadership Program")</f>
        <v>International Visitor Leadership Program</v>
      </c>
      <c r="D70" s="59" t="str">
        <f>IFERROR(__xludf.DUMMYFUNCTION("""COMPUTED_VALUE"""),"X")</f>
        <v>X</v>
      </c>
      <c r="E70" s="60" t="str">
        <f>IFERROR(__xludf.DUMMYFUNCTION("""COMPUTED_VALUE"""),"https://x.com/StateIVLP")</f>
        <v>https://x.com/StateIVLP</v>
      </c>
    </row>
    <row r="71">
      <c r="A71" s="59" t="str">
        <f>IFERROR(__xludf.DUMMYFUNCTION("""COMPUTED_VALUE"""),"ECA")</f>
        <v>ECA</v>
      </c>
      <c r="B71" s="59" t="str">
        <f>IFERROR(__xludf.DUMMYFUNCTION("""COMPUTED_VALUE"""),"United States")</f>
        <v>United States</v>
      </c>
      <c r="C71" s="59" t="str">
        <f>IFERROR(__xludf.DUMMYFUNCTION("""COMPUTED_VALUE"""),"International Visitor Leadership Program")</f>
        <v>International Visitor Leadership Program</v>
      </c>
      <c r="D71" s="59" t="str">
        <f>IFERROR(__xludf.DUMMYFUNCTION("""COMPUTED_VALUE"""),"LinkedIn")</f>
        <v>LinkedIn</v>
      </c>
      <c r="E71" s="60" t="str">
        <f>IFERROR(__xludf.DUMMYFUNCTION("""COMPUTED_VALUE"""),"https://www.linkedin.com/company/ivlp-international-visitor-leadership-program/")</f>
        <v>https://www.linkedin.com/company/ivlp-international-visitor-leadership-program/</v>
      </c>
    </row>
    <row r="72">
      <c r="A72" s="59" t="str">
        <f>IFERROR(__xludf.DUMMYFUNCTION("""COMPUTED_VALUE"""),"ECA")</f>
        <v>ECA</v>
      </c>
      <c r="B72" s="59" t="str">
        <f>IFERROR(__xludf.DUMMYFUNCTION("""COMPUTED_VALUE"""),"United States")</f>
        <v>United States</v>
      </c>
      <c r="C72" s="59" t="str">
        <f>IFERROR(__xludf.DUMMYFUNCTION("""COMPUTED_VALUE"""),"Sports Diplomacy")</f>
        <v>Sports Diplomacy</v>
      </c>
      <c r="D72" s="59" t="str">
        <f>IFERROR(__xludf.DUMMYFUNCTION("""COMPUTED_VALUE"""),"Facebook")</f>
        <v>Facebook</v>
      </c>
      <c r="E72" s="60" t="str">
        <f>IFERROR(__xludf.DUMMYFUNCTION("""COMPUTED_VALUE"""),"https://www.facebook.com/SportsDiplomacyDivision/")</f>
        <v>https://www.facebook.com/SportsDiplomacyDivision/</v>
      </c>
    </row>
    <row r="73">
      <c r="A73" s="59" t="str">
        <f>IFERROR(__xludf.DUMMYFUNCTION("""COMPUTED_VALUE"""),"ECA")</f>
        <v>ECA</v>
      </c>
      <c r="B73" s="59" t="str">
        <f>IFERROR(__xludf.DUMMYFUNCTION("""COMPUTED_VALUE"""),"United States")</f>
        <v>United States</v>
      </c>
      <c r="C73" s="59" t="str">
        <f>IFERROR(__xludf.DUMMYFUNCTION("""COMPUTED_VALUE"""),"Sports Diplomacy")</f>
        <v>Sports Diplomacy</v>
      </c>
      <c r="D73" s="59" t="str">
        <f>IFERROR(__xludf.DUMMYFUNCTION("""COMPUTED_VALUE"""),"Instagram")</f>
        <v>Instagram</v>
      </c>
      <c r="E73" s="60" t="str">
        <f>IFERROR(__xludf.DUMMYFUNCTION("""COMPUTED_VALUE"""),"https://www.instagram.com/sportsdiplomacy/")</f>
        <v>https://www.instagram.com/sportsdiplomacy/</v>
      </c>
    </row>
    <row r="74">
      <c r="A74" s="59" t="str">
        <f>IFERROR(__xludf.DUMMYFUNCTION("""COMPUTED_VALUE"""),"ECA")</f>
        <v>ECA</v>
      </c>
      <c r="B74" s="59" t="str">
        <f>IFERROR(__xludf.DUMMYFUNCTION("""COMPUTED_VALUE"""),"United States")</f>
        <v>United States</v>
      </c>
      <c r="C74" s="59" t="str">
        <f>IFERROR(__xludf.DUMMYFUNCTION("""COMPUTED_VALUE"""),"Sports Diplomacy")</f>
        <v>Sports Diplomacy</v>
      </c>
      <c r="D74" s="59" t="str">
        <f>IFERROR(__xludf.DUMMYFUNCTION("""COMPUTED_VALUE"""),"X")</f>
        <v>X</v>
      </c>
      <c r="E74" s="60" t="str">
        <f>IFERROR(__xludf.DUMMYFUNCTION("""COMPUTED_VALUE"""),"https://x.com/SportsDiplomacy")</f>
        <v>https://x.com/SportsDiplomacy</v>
      </c>
    </row>
    <row r="75">
      <c r="A75" s="59" t="str">
        <f>IFERROR(__xludf.DUMMYFUNCTION("""COMPUTED_VALUE"""),"ECA")</f>
        <v>ECA</v>
      </c>
      <c r="B75" s="59" t="str">
        <f>IFERROR(__xludf.DUMMYFUNCTION("""COMPUTED_VALUE"""),"United States")</f>
        <v>United States</v>
      </c>
      <c r="C75" s="59" t="str">
        <f>IFERROR(__xludf.DUMMYFUNCTION("""COMPUTED_VALUE"""),"The Fulbright Program")</f>
        <v>The Fulbright Program</v>
      </c>
      <c r="D75" s="59" t="str">
        <f>IFERROR(__xludf.DUMMYFUNCTION("""COMPUTED_VALUE"""),"Facebook")</f>
        <v>Facebook</v>
      </c>
      <c r="E75" s="60" t="str">
        <f>IFERROR(__xludf.DUMMYFUNCTION("""COMPUTED_VALUE"""),"https://www.facebook.com/fulbright")</f>
        <v>https://www.facebook.com/fulbright</v>
      </c>
    </row>
    <row r="76">
      <c r="A76" s="59" t="str">
        <f>IFERROR(__xludf.DUMMYFUNCTION("""COMPUTED_VALUE"""),"ECA")</f>
        <v>ECA</v>
      </c>
      <c r="B76" s="59" t="str">
        <f>IFERROR(__xludf.DUMMYFUNCTION("""COMPUTED_VALUE"""),"United States")</f>
        <v>United States</v>
      </c>
      <c r="C76" s="59" t="str">
        <f>IFERROR(__xludf.DUMMYFUNCTION("""COMPUTED_VALUE"""),"The Fulbright Program")</f>
        <v>The Fulbright Program</v>
      </c>
      <c r="D76" s="59" t="str">
        <f>IFERROR(__xludf.DUMMYFUNCTION("""COMPUTED_VALUE"""),"Instagram")</f>
        <v>Instagram</v>
      </c>
      <c r="E76" s="60" t="str">
        <f>IFERROR(__xludf.DUMMYFUNCTION("""COMPUTED_VALUE"""),"https://www.instagram.com/the_fulbright_program/")</f>
        <v>https://www.instagram.com/the_fulbright_program/</v>
      </c>
    </row>
    <row r="77">
      <c r="A77" s="59" t="str">
        <f>IFERROR(__xludf.DUMMYFUNCTION("""COMPUTED_VALUE"""),"ECA")</f>
        <v>ECA</v>
      </c>
      <c r="B77" s="59" t="str">
        <f>IFERROR(__xludf.DUMMYFUNCTION("""COMPUTED_VALUE"""),"United States")</f>
        <v>United States</v>
      </c>
      <c r="C77" s="59" t="str">
        <f>IFERROR(__xludf.DUMMYFUNCTION("""COMPUTED_VALUE"""),"The Fulbright Program")</f>
        <v>The Fulbright Program</v>
      </c>
      <c r="D77" s="59" t="str">
        <f>IFERROR(__xludf.DUMMYFUNCTION("""COMPUTED_VALUE"""),"X")</f>
        <v>X</v>
      </c>
      <c r="E77" s="60" t="str">
        <f>IFERROR(__xludf.DUMMYFUNCTION("""COMPUTED_VALUE"""),"https://x.com/FulbrightPrgrm")</f>
        <v>https://x.com/FulbrightPrgrm</v>
      </c>
    </row>
    <row r="78">
      <c r="A78" s="59" t="str">
        <f>IFERROR(__xludf.DUMMYFUNCTION("""COMPUTED_VALUE"""),"ECA")</f>
        <v>ECA</v>
      </c>
      <c r="B78" s="59" t="str">
        <f>IFERROR(__xludf.DUMMYFUNCTION("""COMPUTED_VALUE"""),"United States")</f>
        <v>United States</v>
      </c>
      <c r="C78" s="59" t="str">
        <f>IFERROR(__xludf.DUMMYFUNCTION("""COMPUTED_VALUE"""),"The Fulbright Program")</f>
        <v>The Fulbright Program</v>
      </c>
      <c r="D78" s="59" t="str">
        <f>IFERROR(__xludf.DUMMYFUNCTION("""COMPUTED_VALUE"""),"LinkedIn")</f>
        <v>LinkedIn</v>
      </c>
      <c r="E78" s="60" t="str">
        <f>IFERROR(__xludf.DUMMYFUNCTION("""COMPUTED_VALUE"""),"https://www.linkedin.com/company/the-fulbright-program/")</f>
        <v>https://www.linkedin.com/company/the-fulbright-program/</v>
      </c>
    </row>
    <row r="79">
      <c r="A79" s="59" t="str">
        <f>IFERROR(__xludf.DUMMYFUNCTION("""COMPUTED_VALUE"""),"ENR")</f>
        <v>ENR</v>
      </c>
      <c r="B79" s="59" t="str">
        <f>IFERROR(__xludf.DUMMYFUNCTION("""COMPUTED_VALUE"""),"United States")</f>
        <v>United States</v>
      </c>
      <c r="C79" s="59" t="str">
        <f>IFERROR(__xludf.DUMMYFUNCTION("""COMPUTED_VALUE"""),"Assistant Secretary of State for Energy Resources")</f>
        <v>Assistant Secretary of State for Energy Resources</v>
      </c>
      <c r="D79" s="59" t="str">
        <f>IFERROR(__xludf.DUMMYFUNCTION("""COMPUTED_VALUE"""),"X")</f>
        <v>X</v>
      </c>
      <c r="E79" s="60" t="str">
        <f>IFERROR(__xludf.DUMMYFUNCTION("""COMPUTED_VALUE"""),"https://x.com/AsstSecENR")</f>
        <v>https://x.com/AsstSecENR</v>
      </c>
    </row>
    <row r="80">
      <c r="A80" s="59" t="str">
        <f>IFERROR(__xludf.DUMMYFUNCTION("""COMPUTED_VALUE"""),"ENR")</f>
        <v>ENR</v>
      </c>
      <c r="B80" s="59" t="str">
        <f>IFERROR(__xludf.DUMMYFUNCTION("""COMPUTED_VALUE"""),"United States")</f>
        <v>United States</v>
      </c>
      <c r="C80" s="59" t="str">
        <f>IFERROR(__xludf.DUMMYFUNCTION("""COMPUTED_VALUE"""),"Bureau of Energy Resources")</f>
        <v>Bureau of Energy Resources</v>
      </c>
      <c r="D80" s="59" t="str">
        <f>IFERROR(__xludf.DUMMYFUNCTION("""COMPUTED_VALUE"""),"X")</f>
        <v>X</v>
      </c>
      <c r="E80" s="60" t="str">
        <f>IFERROR(__xludf.DUMMYFUNCTION("""COMPUTED_VALUE"""),"https://x.com/EnergyAtState")</f>
        <v>https://x.com/EnergyAtState</v>
      </c>
    </row>
    <row r="81">
      <c r="A81" s="59" t="str">
        <f>IFERROR(__xludf.DUMMYFUNCTION("""COMPUTED_VALUE"""),"ENR")</f>
        <v>ENR</v>
      </c>
      <c r="B81" s="59" t="str">
        <f>IFERROR(__xludf.DUMMYFUNCTION("""COMPUTED_VALUE"""),"United States")</f>
        <v>United States</v>
      </c>
      <c r="C81" s="59" t="str">
        <f>IFERROR(__xludf.DUMMYFUNCTION("""COMPUTED_VALUE"""),"Bureau of Energy Resources")</f>
        <v>Bureau of Energy Resources</v>
      </c>
      <c r="D81" s="59" t="str">
        <f>IFERROR(__xludf.DUMMYFUNCTION("""COMPUTED_VALUE"""),"LinkedIn")</f>
        <v>LinkedIn</v>
      </c>
      <c r="E81" s="60" t="str">
        <f>IFERROR(__xludf.DUMMYFUNCTION("""COMPUTED_VALUE"""),"https://www.linkedin.com/company/bureauofenergyresources/")</f>
        <v>https://www.linkedin.com/company/bureauofenergyresources/</v>
      </c>
    </row>
    <row r="82">
      <c r="A82" s="59" t="str">
        <f>IFERROR(__xludf.DUMMYFUNCTION("""COMPUTED_VALUE"""),"ENR")</f>
        <v>ENR</v>
      </c>
      <c r="B82" s="59" t="str">
        <f>IFERROR(__xludf.DUMMYFUNCTION("""COMPUTED_VALUE"""),"United States")</f>
        <v>United States</v>
      </c>
      <c r="C82" s="59" t="str">
        <f>IFERROR(__xludf.DUMMYFUNCTION("""COMPUTED_VALUE"""),"Bureau of Energy Resources")</f>
        <v>Bureau of Energy Resources</v>
      </c>
      <c r="D82" s="59" t="str">
        <f>IFERROR(__xludf.DUMMYFUNCTION("""COMPUTED_VALUE"""),"YouTube")</f>
        <v>YouTube</v>
      </c>
      <c r="E82" s="60" t="str">
        <f>IFERROR(__xludf.DUMMYFUNCTION("""COMPUTED_VALUE"""),"https://www.youtube.com/@bureauofenergyresources5835")</f>
        <v>https://www.youtube.com/@bureauofenergyresources5835</v>
      </c>
    </row>
    <row r="83">
      <c r="A83" s="59" t="str">
        <f>IFERROR(__xludf.DUMMYFUNCTION("""COMPUTED_VALUE"""),"FSI")</f>
        <v>FSI</v>
      </c>
      <c r="B83" s="59" t="str">
        <f>IFERROR(__xludf.DUMMYFUNCTION("""COMPUTED_VALUE"""),"United States")</f>
        <v>United States</v>
      </c>
      <c r="C83" s="59" t="str">
        <f>IFERROR(__xludf.DUMMYFUNCTION("""COMPUTED_VALUE"""),"Foreign Service Institute (FSI)")</f>
        <v>Foreign Service Institute (FSI)</v>
      </c>
      <c r="D83" s="59" t="str">
        <f>IFERROR(__xludf.DUMMYFUNCTION("""COMPUTED_VALUE"""),"Facebook")</f>
        <v>Facebook</v>
      </c>
      <c r="E83" s="60" t="str">
        <f>IFERROR(__xludf.DUMMYFUNCTION("""COMPUTED_VALUE"""),"https://www.facebook.com/ForeignServiceInstituteFSI/")</f>
        <v>https://www.facebook.com/ForeignServiceInstituteFSI/</v>
      </c>
    </row>
    <row r="84">
      <c r="A84" s="59" t="str">
        <f>IFERROR(__xludf.DUMMYFUNCTION("""COMPUTED_VALUE"""),"FSI")</f>
        <v>FSI</v>
      </c>
      <c r="B84" s="59" t="str">
        <f>IFERROR(__xludf.DUMMYFUNCTION("""COMPUTED_VALUE"""),"United States")</f>
        <v>United States</v>
      </c>
      <c r="C84" s="59" t="str">
        <f>IFERROR(__xludf.DUMMYFUNCTION("""COMPUTED_VALUE"""),"Foreign Service Institute (FSI)")</f>
        <v>Foreign Service Institute (FSI)</v>
      </c>
      <c r="D84" s="59" t="str">
        <f>IFERROR(__xludf.DUMMYFUNCTION("""COMPUTED_VALUE"""),"X")</f>
        <v>X</v>
      </c>
      <c r="E84" s="60" t="str">
        <f>IFERROR(__xludf.DUMMYFUNCTION("""COMPUTED_VALUE"""),"https://x.com/fsiatstate")</f>
        <v>https://x.com/fsiatstate</v>
      </c>
    </row>
    <row r="85">
      <c r="A85" s="59" t="str">
        <f>IFERROR(__xludf.DUMMYFUNCTION("""COMPUTED_VALUE"""),"FSI")</f>
        <v>FSI</v>
      </c>
      <c r="B85" s="59" t="str">
        <f>IFERROR(__xludf.DUMMYFUNCTION("""COMPUTED_VALUE"""),"United States")</f>
        <v>United States</v>
      </c>
      <c r="C85" s="59" t="str">
        <f>IFERROR(__xludf.DUMMYFUNCTION("""COMPUTED_VALUE"""),"Foreign Service Institute (FSI)")</f>
        <v>Foreign Service Institute (FSI)</v>
      </c>
      <c r="D85" s="59" t="str">
        <f>IFERROR(__xludf.DUMMYFUNCTION("""COMPUTED_VALUE"""),"LinkedIn")</f>
        <v>LinkedIn</v>
      </c>
      <c r="E85" s="60" t="str">
        <f>IFERROR(__xludf.DUMMYFUNCTION("""COMPUTED_VALUE"""),"https://www.linkedin.com/company/foreign-service-institute/")</f>
        <v>https://www.linkedin.com/company/foreign-service-institute/</v>
      </c>
    </row>
    <row r="86">
      <c r="A86" s="59" t="str">
        <f>IFERROR(__xludf.DUMMYFUNCTION("""COMPUTED_VALUE"""),"FSI")</f>
        <v>FSI</v>
      </c>
      <c r="B86" s="59" t="str">
        <f>IFERROR(__xludf.DUMMYFUNCTION("""COMPUTED_VALUE"""),"United States")</f>
        <v>United States</v>
      </c>
      <c r="C86" s="59" t="str">
        <f>IFERROR(__xludf.DUMMYFUNCTION("""COMPUTED_VALUE"""),"Foreign Service Institute (FSI)")</f>
        <v>Foreign Service Institute (FSI)</v>
      </c>
      <c r="D86" s="59" t="str">
        <f>IFERROR(__xludf.DUMMYFUNCTION("""COMPUTED_VALUE"""),"YouTube")</f>
        <v>YouTube</v>
      </c>
      <c r="E86" s="60" t="str">
        <f>IFERROR(__xludf.DUMMYFUNCTION("""COMPUTED_VALUE"""),"https://www.youtube.com/@FSI4000/")</f>
        <v>https://www.youtube.com/@FSI4000/</v>
      </c>
    </row>
    <row r="87">
      <c r="A87" s="59" t="str">
        <f>IFERROR(__xludf.DUMMYFUNCTION("""COMPUTED_VALUE"""),"FSI")</f>
        <v>FSI</v>
      </c>
      <c r="B87" s="59" t="str">
        <f>IFERROR(__xludf.DUMMYFUNCTION("""COMPUTED_VALUE"""),"United States")</f>
        <v>United States</v>
      </c>
      <c r="C87" s="59" t="str">
        <f>IFERROR(__xludf.DUMMYFUNCTION("""COMPUTED_VALUE"""),"Office of the Historian")</f>
        <v>Office of the Historian</v>
      </c>
      <c r="D87" s="59" t="str">
        <f>IFERROR(__xludf.DUMMYFUNCTION("""COMPUTED_VALUE"""),"X")</f>
        <v>X</v>
      </c>
      <c r="E87" s="60" t="str">
        <f>IFERROR(__xludf.DUMMYFUNCTION("""COMPUTED_VALUE"""),"https://x.com/HistoryAtState")</f>
        <v>https://x.com/HistoryAtState</v>
      </c>
    </row>
    <row r="88">
      <c r="A88" s="59" t="str">
        <f>IFERROR(__xludf.DUMMYFUNCTION("""COMPUTED_VALUE"""),"GPA")</f>
        <v>GPA</v>
      </c>
      <c r="B88" s="59" t="str">
        <f>IFERROR(__xludf.DUMMYFUNCTION("""COMPUTED_VALUE"""),"South Africa")</f>
        <v>South Africa</v>
      </c>
      <c r="C88" s="59" t="str">
        <f>IFERROR(__xludf.DUMMYFUNCTION("""COMPUTED_VALUE"""),"Africa Regional Media Hub")</f>
        <v>Africa Regional Media Hub</v>
      </c>
      <c r="D88" s="59" t="str">
        <f>IFERROR(__xludf.DUMMYFUNCTION("""COMPUTED_VALUE"""),"Facebook")</f>
        <v>Facebook</v>
      </c>
      <c r="E88" s="60" t="str">
        <f>IFERROR(__xludf.DUMMYFUNCTION("""COMPUTED_VALUE"""),"https://www.facebook.com/USAfricaMediaHub/")</f>
        <v>https://www.facebook.com/USAfricaMediaHub/</v>
      </c>
    </row>
    <row r="89">
      <c r="A89" s="59" t="str">
        <f>IFERROR(__xludf.DUMMYFUNCTION("""COMPUTED_VALUE"""),"GPA")</f>
        <v>GPA</v>
      </c>
      <c r="B89" s="59" t="str">
        <f>IFERROR(__xludf.DUMMYFUNCTION("""COMPUTED_VALUE"""),"South Africa")</f>
        <v>South Africa</v>
      </c>
      <c r="C89" s="59" t="str">
        <f>IFERROR(__xludf.DUMMYFUNCTION("""COMPUTED_VALUE"""),"Africa Regional Media Hub")</f>
        <v>Africa Regional Media Hub</v>
      </c>
      <c r="D89" s="59" t="str">
        <f>IFERROR(__xludf.DUMMYFUNCTION("""COMPUTED_VALUE"""),"X")</f>
        <v>X</v>
      </c>
      <c r="E89" s="60" t="str">
        <f>IFERROR(__xludf.DUMMYFUNCTION("""COMPUTED_VALUE"""),"https://x.com/AfricaMediaHub")</f>
        <v>https://x.com/AfricaMediaHub</v>
      </c>
    </row>
    <row r="90">
      <c r="A90" s="59" t="str">
        <f>IFERROR(__xludf.DUMMYFUNCTION("""COMPUTED_VALUE"""),"GPA")</f>
        <v>GPA</v>
      </c>
      <c r="B90" s="59" t="str">
        <f>IFERROR(__xludf.DUMMYFUNCTION("""COMPUTED_VALUE"""),"Bangkok")</f>
        <v>Bangkok</v>
      </c>
      <c r="C90" s="59" t="str">
        <f>IFERROR(__xludf.DUMMYFUNCTION("""COMPUTED_VALUE"""),"Asia Pacific Media Hub")</f>
        <v>Asia Pacific Media Hub</v>
      </c>
      <c r="D90" s="59" t="str">
        <f>IFERROR(__xludf.DUMMYFUNCTION("""COMPUTED_VALUE"""),"Facebook")</f>
        <v>Facebook</v>
      </c>
      <c r="E90" s="60" t="str">
        <f>IFERROR(__xludf.DUMMYFUNCTION("""COMPUTED_VALUE"""),"https://www.facebook.com/eapmediahub")</f>
        <v>https://www.facebook.com/eapmediahub</v>
      </c>
    </row>
    <row r="91">
      <c r="A91" s="59" t="str">
        <f>IFERROR(__xludf.DUMMYFUNCTION("""COMPUTED_VALUE"""),"GPA")</f>
        <v>GPA</v>
      </c>
      <c r="B91" s="59" t="str">
        <f>IFERROR(__xludf.DUMMYFUNCTION("""COMPUTED_VALUE"""),"Bangkok")</f>
        <v>Bangkok</v>
      </c>
      <c r="C91" s="59" t="str">
        <f>IFERROR(__xludf.DUMMYFUNCTION("""COMPUTED_VALUE"""),"Asia Pacific Media Hub")</f>
        <v>Asia Pacific Media Hub</v>
      </c>
      <c r="D91" s="59" t="str">
        <f>IFERROR(__xludf.DUMMYFUNCTION("""COMPUTED_VALUE"""),"X")</f>
        <v>X</v>
      </c>
      <c r="E91" s="60" t="str">
        <f>IFERROR(__xludf.DUMMYFUNCTION("""COMPUTED_VALUE"""),"https://x.com/eAsiaMediaHub")</f>
        <v>https://x.com/eAsiaMediaHub</v>
      </c>
    </row>
    <row r="92">
      <c r="A92" s="59" t="str">
        <f>IFERROR(__xludf.DUMMYFUNCTION("""COMPUTED_VALUE"""),"GPA")</f>
        <v>GPA</v>
      </c>
      <c r="B92" s="59" t="str">
        <f>IFERROR(__xludf.DUMMYFUNCTION("""COMPUTED_VALUE"""),"United States")</f>
        <v>United States</v>
      </c>
      <c r="C92" s="59" t="str">
        <f>IFERROR(__xludf.DUMMYFUNCTION("""COMPUTED_VALUE"""),"Assistant Secretary for Global Public Affairs")</f>
        <v>Assistant Secretary for Global Public Affairs</v>
      </c>
      <c r="D92" s="59" t="str">
        <f>IFERROR(__xludf.DUMMYFUNCTION("""COMPUTED_VALUE"""),"X")</f>
        <v>X</v>
      </c>
      <c r="E92" s="60" t="str">
        <f>IFERROR(__xludf.DUMMYFUNCTION("""COMPUTED_VALUE"""),"https://x.com/GPA_AS")</f>
        <v>https://x.com/GPA_AS</v>
      </c>
    </row>
    <row r="93">
      <c r="A93" s="59" t="str">
        <f>IFERROR(__xludf.DUMMYFUNCTION("""COMPUTED_VALUE"""),"GPA")</f>
        <v>GPA</v>
      </c>
      <c r="B93" s="59" t="str">
        <f>IFERROR(__xludf.DUMMYFUNCTION("""COMPUTED_VALUE"""),"Belgium")</f>
        <v>Belgium</v>
      </c>
      <c r="C93" s="59" t="str">
        <f>IFERROR(__xludf.DUMMYFUNCTION("""COMPUTED_VALUE"""),"Brussels Media Hub")</f>
        <v>Brussels Media Hub</v>
      </c>
      <c r="D93" s="59" t="str">
        <f>IFERROR(__xludf.DUMMYFUNCTION("""COMPUTED_VALUE"""),"Facebook")</f>
        <v>Facebook</v>
      </c>
      <c r="E93" s="60" t="str">
        <f>IFERROR(__xludf.DUMMYFUNCTION("""COMPUTED_VALUE"""),"https://www.facebook.com/usaporusski/")</f>
        <v>https://www.facebook.com/usaporusski/</v>
      </c>
    </row>
    <row r="94">
      <c r="A94" s="59" t="str">
        <f>IFERROR(__xludf.DUMMYFUNCTION("""COMPUTED_VALUE"""),"GPA")</f>
        <v>GPA</v>
      </c>
      <c r="B94" s="59" t="str">
        <f>IFERROR(__xludf.DUMMYFUNCTION("""COMPUTED_VALUE"""),"Belgium")</f>
        <v>Belgium</v>
      </c>
      <c r="C94" s="59" t="str">
        <f>IFERROR(__xludf.DUMMYFUNCTION("""COMPUTED_VALUE"""),"Brussels Media Hub")</f>
        <v>Brussels Media Hub</v>
      </c>
      <c r="D94" s="59" t="str">
        <f>IFERROR(__xludf.DUMMYFUNCTION("""COMPUTED_VALUE"""),"X")</f>
        <v>X</v>
      </c>
      <c r="E94" s="60" t="str">
        <f>IFERROR(__xludf.DUMMYFUNCTION("""COMPUTED_VALUE"""),"https://x.com/USAandEurope")</f>
        <v>https://x.com/USAandEurope</v>
      </c>
    </row>
    <row r="95">
      <c r="A95" s="59" t="str">
        <f>IFERROR(__xludf.DUMMYFUNCTION("""COMPUTED_VALUE"""),"GPA")</f>
        <v>GPA</v>
      </c>
      <c r="B95" s="59" t="str">
        <f>IFERROR(__xludf.DUMMYFUNCTION("""COMPUTED_VALUE"""),"Belgium")</f>
        <v>Belgium</v>
      </c>
      <c r="C95" s="59" t="str">
        <f>IFERROR(__xludf.DUMMYFUNCTION("""COMPUTED_VALUE"""),"Brussels Media Hub")</f>
        <v>Brussels Media Hub</v>
      </c>
      <c r="D95" s="59" t="str">
        <f>IFERROR(__xludf.DUMMYFUNCTION("""COMPUTED_VALUE"""),"X")</f>
        <v>X</v>
      </c>
      <c r="E95" s="60" t="str">
        <f>IFERROR(__xludf.DUMMYFUNCTION("""COMPUTED_VALUE"""),"https://x.com/USAenFrancais")</f>
        <v>https://x.com/USAenFrancais</v>
      </c>
    </row>
    <row r="96">
      <c r="A96" s="59" t="str">
        <f>IFERROR(__xludf.DUMMYFUNCTION("""COMPUTED_VALUE"""),"GPA")</f>
        <v>GPA</v>
      </c>
      <c r="B96" s="59" t="str">
        <f>IFERROR(__xludf.DUMMYFUNCTION("""COMPUTED_VALUE"""),"Belgium")</f>
        <v>Belgium</v>
      </c>
      <c r="C96" s="59" t="str">
        <f>IFERROR(__xludf.DUMMYFUNCTION("""COMPUTED_VALUE"""),"Brussels Media Hub")</f>
        <v>Brussels Media Hub</v>
      </c>
      <c r="D96" s="59" t="str">
        <f>IFERROR(__xludf.DUMMYFUNCTION("""COMPUTED_VALUE"""),"X")</f>
        <v>X</v>
      </c>
      <c r="E96" s="60" t="str">
        <f>IFERROR(__xludf.DUMMYFUNCTION("""COMPUTED_VALUE"""),"https://x.com/USApoRusski")</f>
        <v>https://x.com/USApoRusski</v>
      </c>
    </row>
    <row r="97">
      <c r="A97" s="59" t="str">
        <f>IFERROR(__xludf.DUMMYFUNCTION("""COMPUTED_VALUE"""),"GPA")</f>
        <v>GPA</v>
      </c>
      <c r="B97" s="59" t="str">
        <f>IFERROR(__xludf.DUMMYFUNCTION("""COMPUTED_VALUE"""),"United States")</f>
        <v>United States</v>
      </c>
      <c r="C97" s="59" t="str">
        <f>IFERROR(__xludf.DUMMYFUNCTION("""COMPUTED_VALUE"""),"Bureau of Global Public Affairs")</f>
        <v>Bureau of Global Public Affairs</v>
      </c>
      <c r="D97" s="59" t="str">
        <f>IFERROR(__xludf.DUMMYFUNCTION("""COMPUTED_VALUE"""),"Flickr")</f>
        <v>Flickr</v>
      </c>
      <c r="E97" s="60" t="str">
        <f>IFERROR(__xludf.DUMMYFUNCTION("""COMPUTED_VALUE"""),"https://www.flickr.com/people/iip-photo-archive/")</f>
        <v>https://www.flickr.com/people/iip-photo-archive/</v>
      </c>
    </row>
    <row r="98">
      <c r="A98" s="59" t="str">
        <f>IFERROR(__xludf.DUMMYFUNCTION("""COMPUTED_VALUE"""),"GPA")</f>
        <v>GPA</v>
      </c>
      <c r="B98" s="59" t="str">
        <f>IFERROR(__xludf.DUMMYFUNCTION("""COMPUTED_VALUE"""),"United States")</f>
        <v>United States</v>
      </c>
      <c r="C98" s="59" t="str">
        <f>IFERROR(__xludf.DUMMYFUNCTION("""COMPUTED_VALUE"""),"Deputy Spokesperson to the Secretary")</f>
        <v>Deputy Spokesperson to the Secretary</v>
      </c>
      <c r="D98" s="59" t="str">
        <f>IFERROR(__xludf.DUMMYFUNCTION("""COMPUTED_VALUE"""),"X")</f>
        <v>X</v>
      </c>
      <c r="E98" s="60" t="str">
        <f>IFERROR(__xludf.DUMMYFUNCTION("""COMPUTED_VALUE"""),"https://x.com/statedeputyspox")</f>
        <v>https://x.com/statedeputyspox</v>
      </c>
    </row>
    <row r="99">
      <c r="A99" s="59" t="str">
        <f>IFERROR(__xludf.DUMMYFUNCTION("""COMPUTED_VALUE"""),"GPA")</f>
        <v>GPA</v>
      </c>
      <c r="B99" s="59" t="str">
        <f>IFERROR(__xludf.DUMMYFUNCTION("""COMPUTED_VALUE"""),"United Arab Emirates")</f>
        <v>United Arab Emirates</v>
      </c>
      <c r="C99" s="59" t="str">
        <f>IFERROR(__xludf.DUMMYFUNCTION("""COMPUTED_VALUE"""),"Dubai Regional Media Hub")</f>
        <v>Dubai Regional Media Hub</v>
      </c>
      <c r="D99" s="59" t="str">
        <f>IFERROR(__xludf.DUMMYFUNCTION("""COMPUTED_VALUE"""),"Facebook")</f>
        <v>Facebook</v>
      </c>
      <c r="E99" s="60" t="str">
        <f>IFERROR(__xludf.DUMMYFUNCTION("""COMPUTED_VALUE"""),"https://www.facebook.com/USAbilAraby/")</f>
        <v>https://www.facebook.com/USAbilAraby/</v>
      </c>
    </row>
    <row r="100">
      <c r="A100" s="59" t="str">
        <f>IFERROR(__xludf.DUMMYFUNCTION("""COMPUTED_VALUE"""),"GPA")</f>
        <v>GPA</v>
      </c>
      <c r="B100" s="59" t="str">
        <f>IFERROR(__xludf.DUMMYFUNCTION("""COMPUTED_VALUE"""),"United Arab Emirates")</f>
        <v>United Arab Emirates</v>
      </c>
      <c r="C100" s="59" t="str">
        <f>IFERROR(__xludf.DUMMYFUNCTION("""COMPUTED_VALUE"""),"Dubai Regional Media Hub")</f>
        <v>Dubai Regional Media Hub</v>
      </c>
      <c r="D100" s="59" t="str">
        <f>IFERROR(__xludf.DUMMYFUNCTION("""COMPUTED_VALUE"""),"Instagram")</f>
        <v>Instagram</v>
      </c>
      <c r="E100" s="60" t="str">
        <f>IFERROR(__xludf.DUMMYFUNCTION("""COMPUTED_VALUE"""),"https://www.instagram.com/usabilaraby/")</f>
        <v>https://www.instagram.com/usabilaraby/</v>
      </c>
    </row>
    <row r="101">
      <c r="A101" s="59" t="str">
        <f>IFERROR(__xludf.DUMMYFUNCTION("""COMPUTED_VALUE"""),"GPA")</f>
        <v>GPA</v>
      </c>
      <c r="B101" s="59" t="str">
        <f>IFERROR(__xludf.DUMMYFUNCTION("""COMPUTED_VALUE"""),"United Arab Emirates")</f>
        <v>United Arab Emirates</v>
      </c>
      <c r="C101" s="59" t="str">
        <f>IFERROR(__xludf.DUMMYFUNCTION("""COMPUTED_VALUE"""),"Dubai Regional Media Hub")</f>
        <v>Dubai Regional Media Hub</v>
      </c>
      <c r="D101" s="59" t="str">
        <f>IFERROR(__xludf.DUMMYFUNCTION("""COMPUTED_VALUE"""),"X")</f>
        <v>X</v>
      </c>
      <c r="E101" s="60" t="str">
        <f>IFERROR(__xludf.DUMMYFUNCTION("""COMPUTED_VALUE"""),"https://x.com/USAbilAraby")</f>
        <v>https://x.com/USAbilAraby</v>
      </c>
    </row>
    <row r="102">
      <c r="A102" s="59" t="str">
        <f>IFERROR(__xludf.DUMMYFUNCTION("""COMPUTED_VALUE"""),"GPA")</f>
        <v>GPA</v>
      </c>
      <c r="B102" s="59" t="str">
        <f>IFERROR(__xludf.DUMMYFUNCTION("""COMPUTED_VALUE"""),"United States")</f>
        <v>United States</v>
      </c>
      <c r="C102" s="59" t="str">
        <f>IFERROR(__xludf.DUMMYFUNCTION("""COMPUTED_VALUE"""),"Foreign Press Centers")</f>
        <v>Foreign Press Centers</v>
      </c>
      <c r="D102" s="59" t="str">
        <f>IFERROR(__xludf.DUMMYFUNCTION("""COMPUTED_VALUE"""),"Facebook")</f>
        <v>Facebook</v>
      </c>
      <c r="E102" s="60" t="str">
        <f>IFERROR(__xludf.DUMMYFUNCTION("""COMPUTED_VALUE"""),"https://www.facebook.com/USDoS.FPC")</f>
        <v>https://www.facebook.com/USDoS.FPC</v>
      </c>
    </row>
    <row r="103">
      <c r="A103" s="59" t="str">
        <f>IFERROR(__xludf.DUMMYFUNCTION("""COMPUTED_VALUE"""),"GPA")</f>
        <v>GPA</v>
      </c>
      <c r="B103" s="59" t="str">
        <f>IFERROR(__xludf.DUMMYFUNCTION("""COMPUTED_VALUE"""),"United States")</f>
        <v>United States</v>
      </c>
      <c r="C103" s="59" t="str">
        <f>IFERROR(__xludf.DUMMYFUNCTION("""COMPUTED_VALUE"""),"Foreign Press Centers")</f>
        <v>Foreign Press Centers</v>
      </c>
      <c r="D103" s="59" t="str">
        <f>IFERROR(__xludf.DUMMYFUNCTION("""COMPUTED_VALUE"""),"X")</f>
        <v>X</v>
      </c>
      <c r="E103" s="60" t="str">
        <f>IFERROR(__xludf.DUMMYFUNCTION("""COMPUTED_VALUE"""),"https://x.com/ForeignPressCtr")</f>
        <v>https://x.com/ForeignPressCtr</v>
      </c>
    </row>
    <row r="104">
      <c r="A104" s="59" t="str">
        <f>IFERROR(__xludf.DUMMYFUNCTION("""COMPUTED_VALUE"""),"GPA")</f>
        <v>GPA</v>
      </c>
      <c r="B104" s="59" t="str">
        <f>IFERROR(__xludf.DUMMYFUNCTION("""COMPUTED_VALUE"""),"United Kingdom")</f>
        <v>United Kingdom</v>
      </c>
      <c r="C104" s="59" t="str">
        <f>IFERROR(__xludf.DUMMYFUNCTION("""COMPUTED_VALUE"""),"London Media Hub")</f>
        <v>London Media Hub</v>
      </c>
      <c r="D104" s="59" t="str">
        <f>IFERROR(__xludf.DUMMYFUNCTION("""COMPUTED_VALUE"""),"Facebook")</f>
        <v>Facebook</v>
      </c>
      <c r="E104" s="60" t="str">
        <f>IFERROR(__xludf.DUMMYFUNCTION("""COMPUTED_VALUE"""),"https://www.facebook.com/USAHindiMein/")</f>
        <v>https://www.facebook.com/USAHindiMein/</v>
      </c>
    </row>
    <row r="105">
      <c r="A105" s="59" t="str">
        <f>IFERROR(__xludf.DUMMYFUNCTION("""COMPUTED_VALUE"""),"GPA")</f>
        <v>GPA</v>
      </c>
      <c r="B105" s="59" t="str">
        <f>IFERROR(__xludf.DUMMYFUNCTION("""COMPUTED_VALUE"""),"United Kingdom")</f>
        <v>United Kingdom</v>
      </c>
      <c r="C105" s="59" t="str">
        <f>IFERROR(__xludf.DUMMYFUNCTION("""COMPUTED_VALUE"""),"London Media Hub")</f>
        <v>London Media Hub</v>
      </c>
      <c r="D105" s="59" t="str">
        <f>IFERROR(__xludf.DUMMYFUNCTION("""COMPUTED_VALUE"""),"X")</f>
        <v>X</v>
      </c>
      <c r="E105" s="60" t="str">
        <f>IFERROR(__xludf.DUMMYFUNCTION("""COMPUTED_VALUE"""),"https://x.com/USAHindiMein")</f>
        <v>https://x.com/USAHindiMein</v>
      </c>
    </row>
    <row r="106">
      <c r="A106" s="59" t="str">
        <f>IFERROR(__xludf.DUMMYFUNCTION("""COMPUTED_VALUE"""),"GPA")</f>
        <v>GPA</v>
      </c>
      <c r="B106" s="59" t="str">
        <f>IFERROR(__xludf.DUMMYFUNCTION("""COMPUTED_VALUE"""),"United Kingdom")</f>
        <v>United Kingdom</v>
      </c>
      <c r="C106" s="59" t="str">
        <f>IFERROR(__xludf.DUMMYFUNCTION("""COMPUTED_VALUE"""),"London Media Hub")</f>
        <v>London Media Hub</v>
      </c>
      <c r="D106" s="59" t="str">
        <f>IFERROR(__xludf.DUMMYFUNCTION("""COMPUTED_VALUE"""),"Facebook")</f>
        <v>Facebook</v>
      </c>
      <c r="E106" s="60" t="str">
        <f>IFERROR(__xludf.DUMMYFUNCTION("""COMPUTED_VALUE"""),"https://www.facebook.com/USAUrdu/ ")</f>
        <v>https://www.facebook.com/USAUrdu/ </v>
      </c>
    </row>
    <row r="107">
      <c r="A107" s="59" t="str">
        <f>IFERROR(__xludf.DUMMYFUNCTION("""COMPUTED_VALUE"""),"GPA")</f>
        <v>GPA</v>
      </c>
      <c r="B107" s="59" t="str">
        <f>IFERROR(__xludf.DUMMYFUNCTION("""COMPUTED_VALUE"""),"United Kingdom")</f>
        <v>United Kingdom</v>
      </c>
      <c r="C107" s="59" t="str">
        <f>IFERROR(__xludf.DUMMYFUNCTION("""COMPUTED_VALUE"""),"London Media Hub")</f>
        <v>London Media Hub</v>
      </c>
      <c r="D107" s="59" t="str">
        <f>IFERROR(__xludf.DUMMYFUNCTION("""COMPUTED_VALUE"""),"X")</f>
        <v>X</v>
      </c>
      <c r="E107" s="60" t="str">
        <f>IFERROR(__xludf.DUMMYFUNCTION("""COMPUTED_VALUE"""),"https://x.com/USAUrdu")</f>
        <v>https://x.com/USAUrdu</v>
      </c>
    </row>
    <row r="108">
      <c r="A108" s="59" t="str">
        <f>IFERROR(__xludf.DUMMYFUNCTION("""COMPUTED_VALUE"""),"GPA")</f>
        <v>GPA</v>
      </c>
      <c r="B108" s="59" t="str">
        <f>IFERROR(__xludf.DUMMYFUNCTION("""COMPUTED_VALUE"""),"United States")</f>
        <v>United States</v>
      </c>
      <c r="C108" s="59" t="str">
        <f>IFERROR(__xludf.DUMMYFUNCTION("""COMPUTED_VALUE"""),"Media Hub of the Americas")</f>
        <v>Media Hub of the Americas</v>
      </c>
      <c r="D108" s="59" t="str">
        <f>IFERROR(__xludf.DUMMYFUNCTION("""COMPUTED_VALUE"""),"X")</f>
        <v>X</v>
      </c>
      <c r="E108" s="60" t="str">
        <f>IFERROR(__xludf.DUMMYFUNCTION("""COMPUTED_VALUE"""),"https://x.com/USAemPortugues")</f>
        <v>https://x.com/USAemPortugues</v>
      </c>
    </row>
    <row r="109">
      <c r="A109" s="59" t="str">
        <f>IFERROR(__xludf.DUMMYFUNCTION("""COMPUTED_VALUE"""),"GPA")</f>
        <v>GPA</v>
      </c>
      <c r="B109" s="59" t="str">
        <f>IFERROR(__xludf.DUMMYFUNCTION("""COMPUTED_VALUE"""),"United States")</f>
        <v>United States</v>
      </c>
      <c r="C109" s="59" t="str">
        <f>IFERROR(__xludf.DUMMYFUNCTION("""COMPUTED_VALUE"""),"Media Hub of the Americas")</f>
        <v>Media Hub of the Americas</v>
      </c>
      <c r="D109" s="59" t="str">
        <f>IFERROR(__xludf.DUMMYFUNCTION("""COMPUTED_VALUE"""),"Facebook")</f>
        <v>Facebook</v>
      </c>
      <c r="E109" s="60" t="str">
        <f>IFERROR(__xludf.DUMMYFUNCTION("""COMPUTED_VALUE"""),"https://www.facebook.com/USAenEspanolOficial")</f>
        <v>https://www.facebook.com/USAenEspanolOficial</v>
      </c>
    </row>
    <row r="110">
      <c r="A110" s="59" t="str">
        <f>IFERROR(__xludf.DUMMYFUNCTION("""COMPUTED_VALUE"""),"GPA")</f>
        <v>GPA</v>
      </c>
      <c r="B110" s="59" t="str">
        <f>IFERROR(__xludf.DUMMYFUNCTION("""COMPUTED_VALUE"""),"United States")</f>
        <v>United States</v>
      </c>
      <c r="C110" s="59" t="str">
        <f>IFERROR(__xludf.DUMMYFUNCTION("""COMPUTED_VALUE"""),"Media Hub of the Americas")</f>
        <v>Media Hub of the Americas</v>
      </c>
      <c r="D110" s="59" t="str">
        <f>IFERROR(__xludf.DUMMYFUNCTION("""COMPUTED_VALUE"""),"X")</f>
        <v>X</v>
      </c>
      <c r="E110" s="60" t="str">
        <f>IFERROR(__xludf.DUMMYFUNCTION("""COMPUTED_VALUE"""),"https://x.com/USAenEspanol")</f>
        <v>https://x.com/USAenEspanol</v>
      </c>
    </row>
    <row r="111">
      <c r="A111" s="59" t="str">
        <f>IFERROR(__xludf.DUMMYFUNCTION("""COMPUTED_VALUE"""),"GPA")</f>
        <v>GPA</v>
      </c>
      <c r="B111" s="59" t="str">
        <f>IFERROR(__xludf.DUMMYFUNCTION("""COMPUTED_VALUE"""),"United States")</f>
        <v>United States</v>
      </c>
      <c r="C111" s="59" t="str">
        <f>IFERROR(__xludf.DUMMYFUNCTION("""COMPUTED_VALUE"""),"ShareAmerica")</f>
        <v>ShareAmerica</v>
      </c>
      <c r="D111" s="59" t="str">
        <f>IFERROR(__xludf.DUMMYFUNCTION("""COMPUTED_VALUE"""),"X")</f>
        <v>X</v>
      </c>
      <c r="E111" s="60" t="str">
        <f>IFERROR(__xludf.DUMMYFUNCTION("""COMPUTED_VALUE"""),"https://x.com/AmericaGovFr")</f>
        <v>https://x.com/AmericaGovFr</v>
      </c>
    </row>
    <row r="112">
      <c r="A112" s="59" t="str">
        <f>IFERROR(__xludf.DUMMYFUNCTION("""COMPUTED_VALUE"""),"GPA")</f>
        <v>GPA</v>
      </c>
      <c r="B112" s="59" t="str">
        <f>IFERROR(__xludf.DUMMYFUNCTION("""COMPUTED_VALUE"""),"United States")</f>
        <v>United States</v>
      </c>
      <c r="C112" s="59" t="str">
        <f>IFERROR(__xludf.DUMMYFUNCTION("""COMPUTED_VALUE"""),"ShareAmerica")</f>
        <v>ShareAmerica</v>
      </c>
      <c r="D112" s="59" t="str">
        <f>IFERROR(__xludf.DUMMYFUNCTION("""COMPUTED_VALUE"""),"X")</f>
        <v>X</v>
      </c>
      <c r="E112" s="60" t="str">
        <f>IFERROR(__xludf.DUMMYFUNCTION("""COMPUTED_VALUE"""),"https://x.com/MeiGuoCanKao")</f>
        <v>https://x.com/MeiGuoCanKao</v>
      </c>
    </row>
    <row r="113">
      <c r="A113" s="59" t="str">
        <f>IFERROR(__xludf.DUMMYFUNCTION("""COMPUTED_VALUE"""),"GPA")</f>
        <v>GPA</v>
      </c>
      <c r="B113" s="59" t="str">
        <f>IFERROR(__xludf.DUMMYFUNCTION("""COMPUTED_VALUE"""),"United States")</f>
        <v>United States</v>
      </c>
      <c r="C113" s="59" t="str">
        <f>IFERROR(__xludf.DUMMYFUNCTION("""COMPUTED_VALUE"""),"ShareAmerica")</f>
        <v>ShareAmerica</v>
      </c>
      <c r="D113" s="59" t="str">
        <f>IFERROR(__xludf.DUMMYFUNCTION("""COMPUTED_VALUE"""),"X")</f>
        <v>X</v>
      </c>
      <c r="E113" s="60" t="str">
        <f>IFERROR(__xludf.DUMMYFUNCTION("""COMPUTED_VALUE"""),"https://x.com/shareamerica")</f>
        <v>https://x.com/shareamerica</v>
      </c>
    </row>
    <row r="114">
      <c r="A114" s="59" t="str">
        <f>IFERROR(__xludf.DUMMYFUNCTION("""COMPUTED_VALUE"""),"GPA")</f>
        <v>GPA</v>
      </c>
      <c r="B114" s="59" t="str">
        <f>IFERROR(__xludf.DUMMYFUNCTION("""COMPUTED_VALUE"""),"United States")</f>
        <v>United States</v>
      </c>
      <c r="C114" s="59" t="str">
        <f>IFERROR(__xludf.DUMMYFUNCTION("""COMPUTED_VALUE"""),"ShareAmerica")</f>
        <v>ShareAmerica</v>
      </c>
      <c r="D114" s="59" t="str">
        <f>IFERROR(__xludf.DUMMYFUNCTION("""COMPUTED_VALUE"""),"X")</f>
        <v>X</v>
      </c>
      <c r="E114" s="60" t="str">
        <f>IFERROR(__xludf.DUMMYFUNCTION("""COMPUTED_VALUE"""),"https://x.com/ShareAmerica_Ar")</f>
        <v>https://x.com/ShareAmerica_Ar</v>
      </c>
    </row>
    <row r="115">
      <c r="A115" s="59" t="str">
        <f>IFERROR(__xludf.DUMMYFUNCTION("""COMPUTED_VALUE"""),"GPA")</f>
        <v>GPA</v>
      </c>
      <c r="B115" s="59" t="str">
        <f>IFERROR(__xludf.DUMMYFUNCTION("""COMPUTED_VALUE"""),"United States")</f>
        <v>United States</v>
      </c>
      <c r="C115" s="59" t="str">
        <f>IFERROR(__xludf.DUMMYFUNCTION("""COMPUTED_VALUE"""),"ShareAmerica")</f>
        <v>ShareAmerica</v>
      </c>
      <c r="D115" s="59" t="str">
        <f>IFERROR(__xludf.DUMMYFUNCTION("""COMPUTED_VALUE"""),"YouTube")</f>
        <v>YouTube</v>
      </c>
      <c r="E115" s="60" t="str">
        <f>IFERROR(__xludf.DUMMYFUNCTION("""COMPUTED_VALUE"""),"https://www.youtube.com/user/Americagov")</f>
        <v>https://www.youtube.com/user/Americagov</v>
      </c>
    </row>
    <row r="116">
      <c r="A116" s="59" t="str">
        <f>IFERROR(__xludf.DUMMYFUNCTION("""COMPUTED_VALUE"""),"GPA")</f>
        <v>GPA</v>
      </c>
      <c r="B116" s="59" t="str">
        <f>IFERROR(__xludf.DUMMYFUNCTION("""COMPUTED_VALUE"""),"United States")</f>
        <v>United States</v>
      </c>
      <c r="C116" s="59" t="str">
        <f>IFERROR(__xludf.DUMMYFUNCTION("""COMPUTED_VALUE"""),"ShareAmerica")</f>
        <v>ShareAmerica</v>
      </c>
      <c r="D116" s="59" t="str">
        <f>IFERROR(__xludf.DUMMYFUNCTION("""COMPUTED_VALUE"""),"YouTube")</f>
        <v>YouTube</v>
      </c>
      <c r="E116" s="60" t="str">
        <f>IFERROR(__xludf.DUMMYFUNCTION("""COMPUTED_VALUE"""),"https://www.youtube.com/@MeiGuoCanKao/")</f>
        <v>https://www.youtube.com/@MeiGuoCanKao/</v>
      </c>
    </row>
    <row r="117">
      <c r="A117" s="59" t="str">
        <f>IFERROR(__xludf.DUMMYFUNCTION("""COMPUTED_VALUE"""),"GPA")</f>
        <v>GPA</v>
      </c>
      <c r="B117" s="59" t="str">
        <f>IFERROR(__xludf.DUMMYFUNCTION("""COMPUTED_VALUE"""),"United States")</f>
        <v>United States</v>
      </c>
      <c r="C117" s="59" t="str">
        <f>IFERROR(__xludf.DUMMYFUNCTION("""COMPUTED_VALUE"""),"Spokesperson to the Secretary")</f>
        <v>Spokesperson to the Secretary</v>
      </c>
      <c r="D117" s="59" t="str">
        <f>IFERROR(__xludf.DUMMYFUNCTION("""COMPUTED_VALUE"""),"X")</f>
        <v>X</v>
      </c>
      <c r="E117" s="60" t="str">
        <f>IFERROR(__xludf.DUMMYFUNCTION("""COMPUTED_VALUE"""),"https://x.com/statedeptspox")</f>
        <v>https://x.com/statedeptspox</v>
      </c>
    </row>
    <row r="118">
      <c r="A118" s="59" t="str">
        <f>IFERROR(__xludf.DUMMYFUNCTION("""COMPUTED_VALUE"""),"GPA")</f>
        <v>GPA</v>
      </c>
      <c r="B118" s="59" t="str">
        <f>IFERROR(__xludf.DUMMYFUNCTION("""COMPUTED_VALUE"""),"United States")</f>
        <v>United States</v>
      </c>
      <c r="C118" s="59" t="str">
        <f>IFERROR(__xludf.DUMMYFUNCTION("""COMPUTED_VALUE"""),"U.S. Department of State")</f>
        <v>U.S. Department of State</v>
      </c>
      <c r="D118" s="59" t="str">
        <f>IFERROR(__xludf.DUMMYFUNCTION("""COMPUTED_VALUE"""),"Facebook")</f>
        <v>Facebook</v>
      </c>
      <c r="E118" s="60" t="str">
        <f>IFERROR(__xludf.DUMMYFUNCTION("""COMPUTED_VALUE"""),"https://www.facebook.com/statedept/")</f>
        <v>https://www.facebook.com/statedept/</v>
      </c>
    </row>
    <row r="119">
      <c r="A119" s="59" t="str">
        <f>IFERROR(__xludf.DUMMYFUNCTION("""COMPUTED_VALUE"""),"GPA")</f>
        <v>GPA</v>
      </c>
      <c r="B119" s="59" t="str">
        <f>IFERROR(__xludf.DUMMYFUNCTION("""COMPUTED_VALUE"""),"United States")</f>
        <v>United States</v>
      </c>
      <c r="C119" s="59" t="str">
        <f>IFERROR(__xludf.DUMMYFUNCTION("""COMPUTED_VALUE"""),"U.S. Department of State")</f>
        <v>U.S. Department of State</v>
      </c>
      <c r="D119" s="59" t="str">
        <f>IFERROR(__xludf.DUMMYFUNCTION("""COMPUTED_VALUE"""),"Flickr")</f>
        <v>Flickr</v>
      </c>
      <c r="E119" s="60" t="str">
        <f>IFERROR(__xludf.DUMMYFUNCTION("""COMPUTED_VALUE"""),"https://www.flickr.com/photos/statephotos")</f>
        <v>https://www.flickr.com/photos/statephotos</v>
      </c>
    </row>
    <row r="120">
      <c r="A120" s="59" t="str">
        <f>IFERROR(__xludf.DUMMYFUNCTION("""COMPUTED_VALUE"""),"GPA")</f>
        <v>GPA</v>
      </c>
      <c r="B120" s="59" t="str">
        <f>IFERROR(__xludf.DUMMYFUNCTION("""COMPUTED_VALUE"""),"United States")</f>
        <v>United States</v>
      </c>
      <c r="C120" s="59" t="str">
        <f>IFERROR(__xludf.DUMMYFUNCTION("""COMPUTED_VALUE"""),"U.S. Department of State")</f>
        <v>U.S. Department of State</v>
      </c>
      <c r="D120" s="59" t="str">
        <f>IFERROR(__xludf.DUMMYFUNCTION("""COMPUTED_VALUE"""),"Instagram")</f>
        <v>Instagram</v>
      </c>
      <c r="E120" s="60" t="str">
        <f>IFERROR(__xludf.DUMMYFUNCTION("""COMPUTED_VALUE"""),"https://www.instagram.com/statedept")</f>
        <v>https://www.instagram.com/statedept</v>
      </c>
    </row>
    <row r="121">
      <c r="A121" s="59" t="str">
        <f>IFERROR(__xludf.DUMMYFUNCTION("""COMPUTED_VALUE"""),"GPA")</f>
        <v>GPA</v>
      </c>
      <c r="B121" s="59" t="str">
        <f>IFERROR(__xludf.DUMMYFUNCTION("""COMPUTED_VALUE"""),"United States")</f>
        <v>United States</v>
      </c>
      <c r="C121" s="59" t="str">
        <f>IFERROR(__xludf.DUMMYFUNCTION("""COMPUTED_VALUE"""),"U.S. Department of State")</f>
        <v>U.S. Department of State</v>
      </c>
      <c r="D121" s="59" t="str">
        <f>IFERROR(__xludf.DUMMYFUNCTION("""COMPUTED_VALUE"""),"LinkedIn")</f>
        <v>LinkedIn</v>
      </c>
      <c r="E121" s="60" t="str">
        <f>IFERROR(__xludf.DUMMYFUNCTION("""COMPUTED_VALUE"""),"https://www.linkedin.com/company/doscareers/")</f>
        <v>https://www.linkedin.com/company/doscareers/</v>
      </c>
    </row>
    <row r="122">
      <c r="A122" s="59" t="str">
        <f>IFERROR(__xludf.DUMMYFUNCTION("""COMPUTED_VALUE"""),"GPA")</f>
        <v>GPA</v>
      </c>
      <c r="B122" s="59" t="str">
        <f>IFERROR(__xludf.DUMMYFUNCTION("""COMPUTED_VALUE"""),"United States")</f>
        <v>United States</v>
      </c>
      <c r="C122" s="59" t="str">
        <f>IFERROR(__xludf.DUMMYFUNCTION("""COMPUTED_VALUE"""),"U.S. Department of State")</f>
        <v>U.S. Department of State</v>
      </c>
      <c r="D122" s="59" t="str">
        <f>IFERROR(__xludf.DUMMYFUNCTION("""COMPUTED_VALUE"""),"X")</f>
        <v>X</v>
      </c>
      <c r="E122" s="60" t="str">
        <f>IFERROR(__xludf.DUMMYFUNCTION("""COMPUTED_VALUE"""),"https://x.com/StateDept")</f>
        <v>https://x.com/StateDept</v>
      </c>
    </row>
    <row r="123">
      <c r="A123" s="59" t="str">
        <f>IFERROR(__xludf.DUMMYFUNCTION("""COMPUTED_VALUE"""),"GPA")</f>
        <v>GPA</v>
      </c>
      <c r="B123" s="59" t="str">
        <f>IFERROR(__xludf.DUMMYFUNCTION("""COMPUTED_VALUE"""),"United States")</f>
        <v>United States</v>
      </c>
      <c r="C123" s="59" t="str">
        <f>IFERROR(__xludf.DUMMYFUNCTION("""COMPUTED_VALUE"""),"U.S. Department of State")</f>
        <v>U.S. Department of State</v>
      </c>
      <c r="D123" s="59" t="str">
        <f>IFERROR(__xludf.DUMMYFUNCTION("""COMPUTED_VALUE"""),"YouTube")</f>
        <v>YouTube</v>
      </c>
      <c r="E123" s="60" t="str">
        <f>IFERROR(__xludf.DUMMYFUNCTION("""COMPUTED_VALUE"""),"https://www.youtube.com/@StateDept")</f>
        <v>https://www.youtube.com/@StateDept</v>
      </c>
    </row>
    <row r="124">
      <c r="A124" s="59" t="str">
        <f>IFERROR(__xludf.DUMMYFUNCTION("""COMPUTED_VALUE"""),"GPA")</f>
        <v>GPA</v>
      </c>
      <c r="B124" s="59" t="str">
        <f>IFERROR(__xludf.DUMMYFUNCTION("""COMPUTED_VALUE"""),"United States")</f>
        <v>United States</v>
      </c>
      <c r="C124" s="59" t="str">
        <f>IFERROR(__xludf.DUMMYFUNCTION("""COMPUTED_VALUE"""),"U.S. Department of State")</f>
        <v>U.S. Department of State</v>
      </c>
      <c r="D124" s="59" t="str">
        <f>IFERROR(__xludf.DUMMYFUNCTION("""COMPUTED_VALUE"""),"Rumble")</f>
        <v>Rumble</v>
      </c>
      <c r="E124" s="60" t="str">
        <f>IFERROR(__xludf.DUMMYFUNCTION("""COMPUTED_VALUE"""),"https://rumble.com/c/StateDept")</f>
        <v>https://rumble.com/c/StateDept</v>
      </c>
    </row>
    <row r="125">
      <c r="A125" s="59" t="str">
        <f>IFERROR(__xludf.DUMMYFUNCTION("""COMPUTED_VALUE"""),"GPA")</f>
        <v>GPA</v>
      </c>
      <c r="B125" s="59" t="str">
        <f>IFERROR(__xludf.DUMMYFUNCTION("""COMPUTED_VALUE"""),"United States")</f>
        <v>United States</v>
      </c>
      <c r="C125" s="59" t="str">
        <f>IFERROR(__xludf.DUMMYFUNCTION("""COMPUTED_VALUE"""),"U.S. Department of State")</f>
        <v>U.S. Department of State</v>
      </c>
      <c r="D125" s="59" t="str">
        <f>IFERROR(__xludf.DUMMYFUNCTION("""COMPUTED_VALUE"""),"Substack")</f>
        <v>Substack</v>
      </c>
      <c r="E125" s="60" t="str">
        <f>IFERROR(__xludf.DUMMYFUNCTION("""COMPUTED_VALUE"""),"https://statedept.substack.com/")</f>
        <v>https://statedept.substack.com/</v>
      </c>
    </row>
    <row r="126">
      <c r="A126" s="59" t="str">
        <f>IFERROR(__xludf.DUMMYFUNCTION("""COMPUTED_VALUE"""),"GTM")</f>
        <v>GTM</v>
      </c>
      <c r="B126" s="59" t="str">
        <f>IFERROR(__xludf.DUMMYFUNCTION("""COMPUTED_VALUE"""),"United States")</f>
        <v>United States</v>
      </c>
      <c r="C126" s="59" t="str">
        <f>IFERROR(__xludf.DUMMYFUNCTION("""COMPUTED_VALUE"""),"Director General of the Foreign Service &amp; Director of Global Talent")</f>
        <v>Director General of the Foreign Service &amp; Director of Global Talent</v>
      </c>
      <c r="D126" s="59" t="str">
        <f>IFERROR(__xludf.DUMMYFUNCTION("""COMPUTED_VALUE"""),"X")</f>
        <v>X</v>
      </c>
      <c r="E126" s="60" t="str">
        <f>IFERROR(__xludf.DUMMYFUNCTION("""COMPUTED_VALUE"""),"https://x.com/StateDG")</f>
        <v>https://x.com/StateDG</v>
      </c>
    </row>
    <row r="127">
      <c r="A127" s="59" t="str">
        <f>IFERROR(__xludf.DUMMYFUNCTION("""COMPUTED_VALUE"""),"GTM")</f>
        <v>GTM</v>
      </c>
      <c r="B127" s="59" t="str">
        <f>IFERROR(__xludf.DUMMYFUNCTION("""COMPUTED_VALUE"""),"United States")</f>
        <v>United States</v>
      </c>
      <c r="C127" s="59" t="str">
        <f>IFERROR(__xludf.DUMMYFUNCTION("""COMPUTED_VALUE"""),"Global Community Liaison Office")</f>
        <v>Global Community Liaison Office</v>
      </c>
      <c r="D127" s="59" t="str">
        <f>IFERROR(__xludf.DUMMYFUNCTION("""COMPUTED_VALUE"""),"Facebook")</f>
        <v>Facebook</v>
      </c>
      <c r="E127" s="60" t="str">
        <f>IFERROR(__xludf.DUMMYFUNCTION("""COMPUTED_VALUE"""),"https://www.facebook.com/GlobalCommunityLiaisonOffice")</f>
        <v>https://www.facebook.com/GlobalCommunityLiaisonOffice</v>
      </c>
    </row>
    <row r="128">
      <c r="A128" s="59" t="str">
        <f>IFERROR(__xludf.DUMMYFUNCTION("""COMPUTED_VALUE"""),"GTM")</f>
        <v>GTM</v>
      </c>
      <c r="B128" s="59" t="str">
        <f>IFERROR(__xludf.DUMMYFUNCTION("""COMPUTED_VALUE"""),"United States")</f>
        <v>United States</v>
      </c>
      <c r="C128" s="59" t="str">
        <f>IFERROR(__xludf.DUMMYFUNCTION("""COMPUTED_VALUE"""),"Global Community Liaison Office")</f>
        <v>Global Community Liaison Office</v>
      </c>
      <c r="D128" s="59" t="str">
        <f>IFERROR(__xludf.DUMMYFUNCTION("""COMPUTED_VALUE"""),"YouTube")</f>
        <v>YouTube</v>
      </c>
      <c r="E128" s="60" t="str">
        <f>IFERROR(__xludf.DUMMYFUNCTION("""COMPUTED_VALUE"""),"https://youtube.com/@GlobalCommunityLiaisonOffice")</f>
        <v>https://youtube.com/@GlobalCommunityLiaisonOffice</v>
      </c>
    </row>
    <row r="129">
      <c r="A129" s="59" t="str">
        <f>IFERROR(__xludf.DUMMYFUNCTION("""COMPUTED_VALUE"""),"GTM")</f>
        <v>GTM</v>
      </c>
      <c r="B129" s="59" t="str">
        <f>IFERROR(__xludf.DUMMYFUNCTION("""COMPUTED_VALUE"""),"United States")</f>
        <v>United States</v>
      </c>
      <c r="C129" s="59" t="str">
        <f>IFERROR(__xludf.DUMMYFUNCTION("""COMPUTED_VALUE"""),"Global Community Liaison Office")</f>
        <v>Global Community Liaison Office</v>
      </c>
      <c r="D129" s="59" t="str">
        <f>IFERROR(__xludf.DUMMYFUNCTION("""COMPUTED_VALUE"""),"LinkedIn")</f>
        <v>LinkedIn</v>
      </c>
      <c r="E129" s="60" t="str">
        <f>IFERROR(__xludf.DUMMYFUNCTION("""COMPUTED_VALUE"""),"https://www.linkedin.com/company/gclogei")</f>
        <v>https://www.linkedin.com/company/gclogei</v>
      </c>
    </row>
    <row r="130">
      <c r="A130" s="59" t="str">
        <f>IFERROR(__xludf.DUMMYFUNCTION("""COMPUTED_VALUE"""),"GTM")</f>
        <v>GTM</v>
      </c>
      <c r="B130" s="59" t="str">
        <f>IFERROR(__xludf.DUMMYFUNCTION("""COMPUTED_VALUE"""),"United States")</f>
        <v>United States</v>
      </c>
      <c r="C130" s="59" t="str">
        <f>IFERROR(__xludf.DUMMYFUNCTION("""COMPUTED_VALUE"""),"State Dept GTM")</f>
        <v>State Dept GTM</v>
      </c>
      <c r="D130" s="59" t="str">
        <f>IFERROR(__xludf.DUMMYFUNCTION("""COMPUTED_VALUE"""),"Facebook")</f>
        <v>Facebook</v>
      </c>
      <c r="E130" s="60" t="str">
        <f>IFERROR(__xludf.DUMMYFUNCTION("""COMPUTED_VALUE"""),"https://www.facebook.com/StateDeptGTM/")</f>
        <v>https://www.facebook.com/StateDeptGTM/</v>
      </c>
    </row>
    <row r="131">
      <c r="A131" s="59" t="str">
        <f>IFERROR(__xludf.DUMMYFUNCTION("""COMPUTED_VALUE"""),"GTM")</f>
        <v>GTM</v>
      </c>
      <c r="B131" s="59" t="str">
        <f>IFERROR(__xludf.DUMMYFUNCTION("""COMPUTED_VALUE"""),"United States")</f>
        <v>United States</v>
      </c>
      <c r="C131" s="59" t="str">
        <f>IFERROR(__xludf.DUMMYFUNCTION("""COMPUTED_VALUE"""),"State Magazine")</f>
        <v>State Magazine</v>
      </c>
      <c r="D131" s="59" t="str">
        <f>IFERROR(__xludf.DUMMYFUNCTION("""COMPUTED_VALUE"""),"Facebook")</f>
        <v>Facebook</v>
      </c>
      <c r="E131" s="60" t="str">
        <f>IFERROR(__xludf.DUMMYFUNCTION("""COMPUTED_VALUE"""),"https://www.facebook.com/statemagazine")</f>
        <v>https://www.facebook.com/statemagazine</v>
      </c>
    </row>
    <row r="132">
      <c r="A132" s="59" t="str">
        <f>IFERROR(__xludf.DUMMYFUNCTION("""COMPUTED_VALUE"""),"GTM")</f>
        <v>GTM</v>
      </c>
      <c r="B132" s="59" t="str">
        <f>IFERROR(__xludf.DUMMYFUNCTION("""COMPUTED_VALUE"""),"United States")</f>
        <v>United States</v>
      </c>
      <c r="C132" s="59" t="str">
        <f>IFERROR(__xludf.DUMMYFUNCTION("""COMPUTED_VALUE"""),"State Magazine")</f>
        <v>State Magazine</v>
      </c>
      <c r="D132" s="59" t="str">
        <f>IFERROR(__xludf.DUMMYFUNCTION("""COMPUTED_VALUE"""),"X")</f>
        <v>X</v>
      </c>
      <c r="E132" s="60" t="str">
        <f>IFERROR(__xludf.DUMMYFUNCTION("""COMPUTED_VALUE"""),"https://x.com/StateMag")</f>
        <v>https://x.com/StateMag</v>
      </c>
    </row>
    <row r="133">
      <c r="A133" s="59" t="str">
        <f>IFERROR(__xludf.DUMMYFUNCTION("""COMPUTED_VALUE"""),"GTM")</f>
        <v>GTM</v>
      </c>
      <c r="B133" s="59" t="str">
        <f>IFERROR(__xludf.DUMMYFUNCTION("""COMPUTED_VALUE"""),"United States")</f>
        <v>United States</v>
      </c>
      <c r="C133" s="59" t="str">
        <f>IFERROR(__xludf.DUMMYFUNCTION("""COMPUTED_VALUE"""),"State Magazine")</f>
        <v>State Magazine</v>
      </c>
      <c r="D133" s="59" t="str">
        <f>IFERROR(__xludf.DUMMYFUNCTION("""COMPUTED_VALUE"""),"Instagram")</f>
        <v>Instagram</v>
      </c>
      <c r="E133" s="60" t="str">
        <f>IFERROR(__xludf.DUMMYFUNCTION("""COMPUTED_VALUE"""),"https://www.instagram.com/instatemag/")</f>
        <v>https://www.instagram.com/instatemag/</v>
      </c>
    </row>
    <row r="134">
      <c r="A134" s="4" t="str">
        <f>IFERROR(__xludf.DUMMYFUNCTION("""COMPUTED_VALUE"""),"GTM")</f>
        <v>GTM</v>
      </c>
      <c r="B134" s="4" t="str">
        <f>IFERROR(__xludf.DUMMYFUNCTION("""COMPUTED_VALUE"""),"United States")</f>
        <v>United States</v>
      </c>
      <c r="C134" s="4" t="str">
        <f>IFERROR(__xludf.DUMMYFUNCTION("""COMPUTED_VALUE"""),"U.S. Department of State - Careers")</f>
        <v>U.S. Department of State - Careers</v>
      </c>
      <c r="D134" s="4" t="str">
        <f>IFERROR(__xludf.DUMMYFUNCTION("""COMPUTED_VALUE"""),"Facebook")</f>
        <v>Facebook</v>
      </c>
      <c r="E134" s="6" t="str">
        <f>IFERROR(__xludf.DUMMYFUNCTION("""COMPUTED_VALUE"""),"https://www.facebook.com/doscareers")</f>
        <v>https://www.facebook.com/doscareers</v>
      </c>
    </row>
    <row r="135">
      <c r="A135" s="4" t="str">
        <f>IFERROR(__xludf.DUMMYFUNCTION("""COMPUTED_VALUE"""),"GTM")</f>
        <v>GTM</v>
      </c>
      <c r="B135" s="4" t="str">
        <f>IFERROR(__xludf.DUMMYFUNCTION("""COMPUTED_VALUE"""),"United States")</f>
        <v>United States</v>
      </c>
      <c r="C135" s="4" t="str">
        <f>IFERROR(__xludf.DUMMYFUNCTION("""COMPUTED_VALUE"""),"U.S. Department of State - Careers")</f>
        <v>U.S. Department of State - Careers</v>
      </c>
      <c r="D135" s="4" t="str">
        <f>IFERROR(__xludf.DUMMYFUNCTION("""COMPUTED_VALUE"""),"X")</f>
        <v>X</v>
      </c>
      <c r="E135" s="6" t="str">
        <f>IFERROR(__xludf.DUMMYFUNCTION("""COMPUTED_VALUE"""),"https://x.com/doscareers")</f>
        <v>https://x.com/doscareers</v>
      </c>
    </row>
    <row r="136">
      <c r="A136" s="4" t="str">
        <f>IFERROR(__xludf.DUMMYFUNCTION("""COMPUTED_VALUE"""),"GTM")</f>
        <v>GTM</v>
      </c>
      <c r="B136" s="4" t="str">
        <f>IFERROR(__xludf.DUMMYFUNCTION("""COMPUTED_VALUE"""),"United States")</f>
        <v>United States</v>
      </c>
      <c r="C136" s="4" t="str">
        <f>IFERROR(__xludf.DUMMYFUNCTION("""COMPUTED_VALUE"""),"U.S. Department of State - Careers")</f>
        <v>U.S. Department of State - Careers</v>
      </c>
      <c r="D136" s="4" t="str">
        <f>IFERROR(__xludf.DUMMYFUNCTION("""COMPUTED_VALUE"""),"Instagram")</f>
        <v>Instagram</v>
      </c>
      <c r="E136" s="6" t="str">
        <f>IFERROR(__xludf.DUMMYFUNCTION("""COMPUTED_VALUE"""),"https://www.instagram.com/doscareers")</f>
        <v>https://www.instagram.com/doscareers</v>
      </c>
    </row>
    <row r="137">
      <c r="A137" s="4" t="str">
        <f>IFERROR(__xludf.DUMMYFUNCTION("""COMPUTED_VALUE"""),"GTM")</f>
        <v>GTM</v>
      </c>
      <c r="B137" s="4" t="str">
        <f>IFERROR(__xludf.DUMMYFUNCTION("""COMPUTED_VALUE"""),"United States")</f>
        <v>United States</v>
      </c>
      <c r="C137" s="4" t="str">
        <f>IFERROR(__xludf.DUMMYFUNCTION("""COMPUTED_VALUE"""),"U.S. Department of State - Careers for Individuals with Disabilities")</f>
        <v>U.S. Department of State - Careers for Individuals with Disabilities</v>
      </c>
      <c r="D137" s="4" t="str">
        <f>IFERROR(__xludf.DUMMYFUNCTION("""COMPUTED_VALUE"""),"LinkedIn")</f>
        <v>LinkedIn</v>
      </c>
      <c r="E137" s="6" t="str">
        <f>IFERROR(__xludf.DUMMYFUNCTION("""COMPUTED_VALUE"""),"https://www.linkedin.com/showcase/u-s-department-of-state---careers-for-persons-with-disabilities")</f>
        <v>https://www.linkedin.com/showcase/u-s-department-of-state---careers-for-persons-with-disabilities</v>
      </c>
    </row>
    <row r="138">
      <c r="A138" s="4" t="str">
        <f>IFERROR(__xludf.DUMMYFUNCTION("""COMPUTED_VALUE"""),"INL")</f>
        <v>INL</v>
      </c>
      <c r="B138" s="4" t="str">
        <f>IFERROR(__xludf.DUMMYFUNCTION("""COMPUTED_VALUE"""),"United States")</f>
        <v>United States</v>
      </c>
      <c r="C138" s="4" t="str">
        <f>IFERROR(__xludf.DUMMYFUNCTION("""COMPUTED_VALUE"""),"Bureau of International Narcotics and Law Enforcement Affairs")</f>
        <v>Bureau of International Narcotics and Law Enforcement Affairs</v>
      </c>
      <c r="D138" s="4" t="str">
        <f>IFERROR(__xludf.DUMMYFUNCTION("""COMPUTED_VALUE"""),"Facebook")</f>
        <v>Facebook</v>
      </c>
      <c r="E138" s="6" t="str">
        <f>IFERROR(__xludf.DUMMYFUNCTION("""COMPUTED_VALUE"""),"https://www.facebook.com/StateINL/")</f>
        <v>https://www.facebook.com/StateINL/</v>
      </c>
    </row>
    <row r="139">
      <c r="A139" s="4" t="str">
        <f>IFERROR(__xludf.DUMMYFUNCTION("""COMPUTED_VALUE"""),"INL")</f>
        <v>INL</v>
      </c>
      <c r="B139" s="4" t="str">
        <f>IFERROR(__xludf.DUMMYFUNCTION("""COMPUTED_VALUE"""),"United States")</f>
        <v>United States</v>
      </c>
      <c r="C139" s="4" t="str">
        <f>IFERROR(__xludf.DUMMYFUNCTION("""COMPUTED_VALUE"""),"Bureau of International Narcotics and Law Enforcement Affairs")</f>
        <v>Bureau of International Narcotics and Law Enforcement Affairs</v>
      </c>
      <c r="D139" s="4" t="str">
        <f>IFERROR(__xludf.DUMMYFUNCTION("""COMPUTED_VALUE"""),"Instagram")</f>
        <v>Instagram</v>
      </c>
      <c r="E139" s="6" t="str">
        <f>IFERROR(__xludf.DUMMYFUNCTION("""COMPUTED_VALUE"""),"https://www.instagram.com/stateinl/")</f>
        <v>https://www.instagram.com/stateinl/</v>
      </c>
    </row>
    <row r="140">
      <c r="A140" s="4" t="str">
        <f>IFERROR(__xludf.DUMMYFUNCTION("""COMPUTED_VALUE"""),"INL")</f>
        <v>INL</v>
      </c>
      <c r="B140" s="4" t="str">
        <f>IFERROR(__xludf.DUMMYFUNCTION("""COMPUTED_VALUE"""),"United States")</f>
        <v>United States</v>
      </c>
      <c r="C140" s="4" t="str">
        <f>IFERROR(__xludf.DUMMYFUNCTION("""COMPUTED_VALUE"""),"Bureau of International Narcotics and Law Enforcement Affairs")</f>
        <v>Bureau of International Narcotics and Law Enforcement Affairs</v>
      </c>
      <c r="D140" s="4" t="str">
        <f>IFERROR(__xludf.DUMMYFUNCTION("""COMPUTED_VALUE"""),"X")</f>
        <v>X</v>
      </c>
      <c r="E140" s="6" t="str">
        <f>IFERROR(__xludf.DUMMYFUNCTION("""COMPUTED_VALUE"""),"https://x.com/StateINL")</f>
        <v>https://x.com/StateINL</v>
      </c>
    </row>
    <row r="141">
      <c r="A141" s="59" t="str">
        <f>IFERROR(__xludf.DUMMYFUNCTION("""COMPUTED_VALUE"""),"IRF")</f>
        <v>IRF</v>
      </c>
      <c r="B141" s="59" t="str">
        <f>IFERROR(__xludf.DUMMYFUNCTION("""COMPUTED_VALUE"""),"United States")</f>
        <v>United States</v>
      </c>
      <c r="C141" s="59" t="str">
        <f>IFERROR(__xludf.DUMMYFUNCTION("""COMPUTED_VALUE"""),"Ambassador at Large for International Religious Freedom")</f>
        <v>Ambassador at Large for International Religious Freedom</v>
      </c>
      <c r="D141" s="59" t="str">
        <f>IFERROR(__xludf.DUMMYFUNCTION("""COMPUTED_VALUE"""),"X")</f>
        <v>X</v>
      </c>
      <c r="E141" s="60" t="str">
        <f>IFERROR(__xludf.DUMMYFUNCTION("""COMPUTED_VALUE"""),"https://x.com/IRF_Ambassador")</f>
        <v>https://x.com/IRF_Ambassador</v>
      </c>
    </row>
    <row r="142">
      <c r="A142" s="59" t="str">
        <f>IFERROR(__xludf.DUMMYFUNCTION("""COMPUTED_VALUE"""),"IRF")</f>
        <v>IRF</v>
      </c>
      <c r="B142" s="59" t="str">
        <f>IFERROR(__xludf.DUMMYFUNCTION("""COMPUTED_VALUE"""),"United States")</f>
        <v>United States</v>
      </c>
      <c r="C142" s="59" t="str">
        <f>IFERROR(__xludf.DUMMYFUNCTION("""COMPUTED_VALUE"""),"Office of International Religious Freedom")</f>
        <v>Office of International Religious Freedom</v>
      </c>
      <c r="D142" s="59" t="str">
        <f>IFERROR(__xludf.DUMMYFUNCTION("""COMPUTED_VALUE"""),"X")</f>
        <v>X</v>
      </c>
      <c r="E142" s="60" t="str">
        <f>IFERROR(__xludf.DUMMYFUNCTION("""COMPUTED_VALUE"""),"https://x.com/StateIRF")</f>
        <v>https://x.com/StateIRF</v>
      </c>
    </row>
    <row r="143">
      <c r="A143" s="59" t="str">
        <f>IFERROR(__xludf.DUMMYFUNCTION("""COMPUTED_VALUE"""),"IRF")</f>
        <v>IRF</v>
      </c>
      <c r="B143" s="59" t="str">
        <f>IFERROR(__xludf.DUMMYFUNCTION("""COMPUTED_VALUE"""),"United States")</f>
        <v>United States</v>
      </c>
      <c r="C143" s="59" t="str">
        <f>IFERROR(__xludf.DUMMYFUNCTION("""COMPUTED_VALUE"""),"Office of International Religious Freedom")</f>
        <v>Office of International Religious Freedom</v>
      </c>
      <c r="D143" s="59" t="str">
        <f>IFERROR(__xludf.DUMMYFUNCTION("""COMPUTED_VALUE"""),"Facebook")</f>
        <v>Facebook</v>
      </c>
      <c r="E143" s="60" t="str">
        <f>IFERROR(__xludf.DUMMYFUNCTION("""COMPUTED_VALUE"""),"https://www.facebook.com/DOSIRF")</f>
        <v>https://www.facebook.com/DOSIRF</v>
      </c>
    </row>
    <row r="144">
      <c r="A144" s="59" t="str">
        <f>IFERROR(__xludf.DUMMYFUNCTION("""COMPUTED_VALUE"""),"IRM")</f>
        <v>IRM</v>
      </c>
      <c r="B144" s="59" t="str">
        <f>IFERROR(__xludf.DUMMYFUNCTION("""COMPUTED_VALUE"""),"United States")</f>
        <v>United States</v>
      </c>
      <c r="C144" s="59" t="str">
        <f>IFERROR(__xludf.DUMMYFUNCTION("""COMPUTED_VALUE"""),"Bureau of Information Resource Management")</f>
        <v>Bureau of Information Resource Management</v>
      </c>
      <c r="D144" s="59" t="str">
        <f>IFERROR(__xludf.DUMMYFUNCTION("""COMPUTED_VALUE"""),"LinkedIn")</f>
        <v>LinkedIn</v>
      </c>
      <c r="E144" s="60" t="str">
        <f>IFERROR(__xludf.DUMMYFUNCTION("""COMPUTED_VALUE"""),"https://www.linkedin.com/showcase/usdos-irm/")</f>
        <v>https://www.linkedin.com/showcase/usdos-irm/</v>
      </c>
    </row>
    <row r="145">
      <c r="A145" s="59" t="str">
        <f>IFERROR(__xludf.DUMMYFUNCTION("""COMPUTED_VALUE"""),"IRM")</f>
        <v>IRM</v>
      </c>
      <c r="B145" s="59" t="str">
        <f>IFERROR(__xludf.DUMMYFUNCTION("""COMPUTED_VALUE"""),"United States")</f>
        <v>United States</v>
      </c>
      <c r="C145" s="59" t="str">
        <f>IFERROR(__xludf.DUMMYFUNCTION("""COMPUTED_VALUE"""),"Chief Information Officer")</f>
        <v>Chief Information Officer</v>
      </c>
      <c r="D145" s="59" t="str">
        <f>IFERROR(__xludf.DUMMYFUNCTION("""COMPUTED_VALUE"""),"X")</f>
        <v>X</v>
      </c>
      <c r="E145" s="60" t="str">
        <f>IFERROR(__xludf.DUMMYFUNCTION("""COMPUTED_VALUE"""),"https://x.com/StateDept_CIO")</f>
        <v>https://x.com/StateDept_CIO</v>
      </c>
    </row>
    <row r="146">
      <c r="A146" s="59" t="str">
        <f>IFERROR(__xludf.DUMMYFUNCTION("""COMPUTED_VALUE"""),"IRM")</f>
        <v>IRM</v>
      </c>
      <c r="B146" s="59" t="str">
        <f>IFERROR(__xludf.DUMMYFUNCTION("""COMPUTED_VALUE"""),"United States")</f>
        <v>United States</v>
      </c>
      <c r="C146" s="59" t="str">
        <f>IFERROR(__xludf.DUMMYFUNCTION("""COMPUTED_VALUE"""),"Virtual Student Federal Service")</f>
        <v>Virtual Student Federal Service</v>
      </c>
      <c r="D146" s="59" t="str">
        <f>IFERROR(__xludf.DUMMYFUNCTION("""COMPUTED_VALUE"""),"Facebook")</f>
        <v>Facebook</v>
      </c>
      <c r="E146" s="60" t="str">
        <f>IFERROR(__xludf.DUMMYFUNCTION("""COMPUTED_VALUE"""),"https://www.facebook.com/VSFSatState")</f>
        <v>https://www.facebook.com/VSFSatState</v>
      </c>
    </row>
    <row r="147">
      <c r="A147" s="59" t="str">
        <f>IFERROR(__xludf.DUMMYFUNCTION("""COMPUTED_VALUE"""),"IRM")</f>
        <v>IRM</v>
      </c>
      <c r="B147" s="59" t="str">
        <f>IFERROR(__xludf.DUMMYFUNCTION("""COMPUTED_VALUE"""),"United States")</f>
        <v>United States</v>
      </c>
      <c r="C147" s="59" t="str">
        <f>IFERROR(__xludf.DUMMYFUNCTION("""COMPUTED_VALUE"""),"Virtual Student Federal Service")</f>
        <v>Virtual Student Federal Service</v>
      </c>
      <c r="D147" s="59" t="str">
        <f>IFERROR(__xludf.DUMMYFUNCTION("""COMPUTED_VALUE"""),"LinkedIn")</f>
        <v>LinkedIn</v>
      </c>
      <c r="E147" s="60" t="str">
        <f>IFERROR(__xludf.DUMMYFUNCTION("""COMPUTED_VALUE"""),"https://www.linkedin.com/showcase/usdos-vsfs/")</f>
        <v>https://www.linkedin.com/showcase/usdos-vsfs/</v>
      </c>
    </row>
    <row r="148">
      <c r="A148" s="59" t="str">
        <f>IFERROR(__xludf.DUMMYFUNCTION("""COMPUTED_VALUE"""),"ISN")</f>
        <v>ISN</v>
      </c>
      <c r="B148" s="59" t="str">
        <f>IFERROR(__xludf.DUMMYFUNCTION("""COMPUTED_VALUE"""),"United States")</f>
        <v>United States</v>
      </c>
      <c r="C148" s="59" t="str">
        <f>IFERROR(__xludf.DUMMYFUNCTION("""COMPUTED_VALUE"""),"Bureau of International Security and Nonproliferation")</f>
        <v>Bureau of International Security and Nonproliferation</v>
      </c>
      <c r="D148" s="59" t="str">
        <f>IFERROR(__xludf.DUMMYFUNCTION("""COMPUTED_VALUE"""),"Facebook")</f>
        <v>Facebook</v>
      </c>
      <c r="E148" s="60" t="str">
        <f>IFERROR(__xludf.DUMMYFUNCTION("""COMPUTED_VALUE"""),"https://www.facebook.com/StateDepartment.ISNBureau")</f>
        <v>https://www.facebook.com/StateDepartment.ISNBureau</v>
      </c>
    </row>
    <row r="149">
      <c r="A149" s="59" t="str">
        <f>IFERROR(__xludf.DUMMYFUNCTION("""COMPUTED_VALUE"""),"ISN")</f>
        <v>ISN</v>
      </c>
      <c r="B149" s="59" t="str">
        <f>IFERROR(__xludf.DUMMYFUNCTION("""COMPUTED_VALUE"""),"United States")</f>
        <v>United States</v>
      </c>
      <c r="C149" s="59" t="str">
        <f>IFERROR(__xludf.DUMMYFUNCTION("""COMPUTED_VALUE"""),"Bureau of International Security and Nonproliferation")</f>
        <v>Bureau of International Security and Nonproliferation</v>
      </c>
      <c r="D149" s="59" t="str">
        <f>IFERROR(__xludf.DUMMYFUNCTION("""COMPUTED_VALUE"""),"LinkedIn")</f>
        <v>LinkedIn</v>
      </c>
      <c r="E149" s="60" t="str">
        <f>IFERROR(__xludf.DUMMYFUNCTION("""COMPUTED_VALUE"""),"https://www.linkedin.com/company/state-isn/")</f>
        <v>https://www.linkedin.com/company/state-isn/</v>
      </c>
    </row>
    <row r="150">
      <c r="A150" s="59" t="str">
        <f>IFERROR(__xludf.DUMMYFUNCTION("""COMPUTED_VALUE"""),"ISN")</f>
        <v>ISN</v>
      </c>
      <c r="B150" s="59" t="str">
        <f>IFERROR(__xludf.DUMMYFUNCTION("""COMPUTED_VALUE"""),"United States")</f>
        <v>United States</v>
      </c>
      <c r="C150" s="59" t="str">
        <f>IFERROR(__xludf.DUMMYFUNCTION("""COMPUTED_VALUE"""),"Bureau of International Security and Nonproliferation")</f>
        <v>Bureau of International Security and Nonproliferation</v>
      </c>
      <c r="D150" s="59" t="str">
        <f>IFERROR(__xludf.DUMMYFUNCTION("""COMPUTED_VALUE"""),"X")</f>
        <v>X</v>
      </c>
      <c r="E150" s="60" t="str">
        <f>IFERROR(__xludf.DUMMYFUNCTION("""COMPUTED_VALUE"""),"https://x.com/StateISN")</f>
        <v>https://x.com/StateISN</v>
      </c>
    </row>
    <row r="151">
      <c r="A151" s="59" t="str">
        <f>IFERROR(__xludf.DUMMYFUNCTION("""COMPUTED_VALUE"""),"ISN")</f>
        <v>ISN</v>
      </c>
      <c r="B151" s="59" t="str">
        <f>IFERROR(__xludf.DUMMYFUNCTION("""COMPUTED_VALUE"""),"United States")</f>
        <v>United States</v>
      </c>
      <c r="C151" s="59" t="str">
        <f>IFERROR(__xludf.DUMMYFUNCTION("""COMPUTED_VALUE"""),"Bureau of International Security and Nonproliferation")</f>
        <v>Bureau of International Security and Nonproliferation</v>
      </c>
      <c r="D151" s="59" t="str">
        <f>IFERROR(__xludf.DUMMYFUNCTION("""COMPUTED_VALUE"""),"Flickr")</f>
        <v>Flickr</v>
      </c>
      <c r="E151" s="60" t="str">
        <f>IFERROR(__xludf.DUMMYFUNCTION("""COMPUTED_VALUE"""),"https://www.flickr.com/photos/isnbureau/")</f>
        <v>https://www.flickr.com/photos/isnbureau/</v>
      </c>
    </row>
    <row r="152">
      <c r="A152" s="59" t="str">
        <f>IFERROR(__xludf.DUMMYFUNCTION("""COMPUTED_VALUE"""),"ISN")</f>
        <v>ISN</v>
      </c>
      <c r="B152" s="59" t="str">
        <f>IFERROR(__xludf.DUMMYFUNCTION("""COMPUTED_VALUE"""),"United States")</f>
        <v>United States</v>
      </c>
      <c r="C152" s="59" t="str">
        <f>IFERROR(__xludf.DUMMYFUNCTION("""COMPUTED_VALUE"""),"Special Representative for Nuclear Nonproliferation")</f>
        <v>Special Representative for Nuclear Nonproliferation</v>
      </c>
      <c r="D152" s="59" t="str">
        <f>IFERROR(__xludf.DUMMYFUNCTION("""COMPUTED_VALUE"""),"X")</f>
        <v>X</v>
      </c>
      <c r="E152" s="60" t="str">
        <f>IFERROR(__xludf.DUMMYFUNCTION("""COMPUTED_VALUE"""),"https://x.com/USNPT")</f>
        <v>https://x.com/USNPT</v>
      </c>
    </row>
    <row r="153">
      <c r="A153" s="59" t="str">
        <f>IFERROR(__xludf.DUMMYFUNCTION("""COMPUTED_VALUE"""),"J")</f>
        <v>J</v>
      </c>
      <c r="B153" s="59" t="str">
        <f>IFERROR(__xludf.DUMMYFUNCTION("""COMPUTED_VALUE"""),"United States")</f>
        <v>United States</v>
      </c>
      <c r="C153" s="59" t="str">
        <f>IFERROR(__xludf.DUMMYFUNCTION("""COMPUTED_VALUE"""),"Office to Monitor &amp; Combat Trafficking in Persons")</f>
        <v>Office to Monitor &amp; Combat Trafficking in Persons</v>
      </c>
      <c r="D153" s="59" t="str">
        <f>IFERROR(__xludf.DUMMYFUNCTION("""COMPUTED_VALUE"""),"Facebook")</f>
        <v>Facebook</v>
      </c>
      <c r="E153" s="60" t="str">
        <f>IFERROR(__xludf.DUMMYFUNCTION("""COMPUTED_VALUE"""),"https://www.facebook.com/usdos.jtip")</f>
        <v>https://www.facebook.com/usdos.jtip</v>
      </c>
    </row>
    <row r="154">
      <c r="A154" s="59" t="str">
        <f>IFERROR(__xludf.DUMMYFUNCTION("""COMPUTED_VALUE"""),"J")</f>
        <v>J</v>
      </c>
      <c r="B154" s="59" t="str">
        <f>IFERROR(__xludf.DUMMYFUNCTION("""COMPUTED_VALUE"""),"United States")</f>
        <v>United States</v>
      </c>
      <c r="C154" s="59" t="str">
        <f>IFERROR(__xludf.DUMMYFUNCTION("""COMPUTED_VALUE"""),"Office to Monitor &amp; Combat Trafficking in Persons")</f>
        <v>Office to Monitor &amp; Combat Trafficking in Persons</v>
      </c>
      <c r="D154" s="59" t="str">
        <f>IFERROR(__xludf.DUMMYFUNCTION("""COMPUTED_VALUE"""),"Instagram")</f>
        <v>Instagram</v>
      </c>
      <c r="E154" s="60" t="str">
        <f>IFERROR(__xludf.DUMMYFUNCTION("""COMPUTED_VALUE"""),"https://www.instagram.com/trafficking_in_persons_state/")</f>
        <v>https://www.instagram.com/trafficking_in_persons_state/</v>
      </c>
    </row>
    <row r="155">
      <c r="A155" s="59" t="str">
        <f>IFERROR(__xludf.DUMMYFUNCTION("""COMPUTED_VALUE"""),"J")</f>
        <v>J</v>
      </c>
      <c r="B155" s="59" t="str">
        <f>IFERROR(__xludf.DUMMYFUNCTION("""COMPUTED_VALUE"""),"United States")</f>
        <v>United States</v>
      </c>
      <c r="C155" s="59" t="str">
        <f>IFERROR(__xludf.DUMMYFUNCTION("""COMPUTED_VALUE"""),"Office to Monitor &amp; Combat Trafficking in Persons")</f>
        <v>Office to Monitor &amp; Combat Trafficking in Persons</v>
      </c>
      <c r="D155" s="59" t="str">
        <f>IFERROR(__xludf.DUMMYFUNCTION("""COMPUTED_VALUE"""),"X")</f>
        <v>X</v>
      </c>
      <c r="E155" s="60" t="str">
        <f>IFERROR(__xludf.DUMMYFUNCTION("""COMPUTED_VALUE"""),"https://x.com/JTIP_State")</f>
        <v>https://x.com/JTIP_State</v>
      </c>
    </row>
    <row r="156">
      <c r="A156" s="59" t="str">
        <f>IFERROR(__xludf.DUMMYFUNCTION("""COMPUTED_VALUE"""),"J")</f>
        <v>J</v>
      </c>
      <c r="B156" s="59" t="str">
        <f>IFERROR(__xludf.DUMMYFUNCTION("""COMPUTED_VALUE"""),"United States")</f>
        <v>United States</v>
      </c>
      <c r="C156" s="59" t="str">
        <f>IFERROR(__xludf.DUMMYFUNCTION("""COMPUTED_VALUE"""),"Special Envoy to Monitor and Combat Antisemitism")</f>
        <v>Special Envoy to Monitor and Combat Antisemitism</v>
      </c>
      <c r="D156" s="59" t="str">
        <f>IFERROR(__xludf.DUMMYFUNCTION("""COMPUTED_VALUE"""),"X")</f>
        <v>X</v>
      </c>
      <c r="E156" s="60" t="str">
        <f>IFERROR(__xludf.DUMMYFUNCTION("""COMPUTED_VALUE"""),"https://x.com/StateSEAS")</f>
        <v>https://x.com/StateSEAS</v>
      </c>
    </row>
    <row r="157">
      <c r="A157" s="59" t="str">
        <f>IFERROR(__xludf.DUMMYFUNCTION("""COMPUTED_VALUE"""),"J")</f>
        <v>J</v>
      </c>
      <c r="B157" s="59" t="str">
        <f>IFERROR(__xludf.DUMMYFUNCTION("""COMPUTED_VALUE"""),"United States")</f>
        <v>United States</v>
      </c>
      <c r="C157" s="59" t="str">
        <f>IFERROR(__xludf.DUMMYFUNCTION("""COMPUTED_VALUE"""),"Special Envoy to Monitor and Combat Antisemitism")</f>
        <v>Special Envoy to Monitor and Combat Antisemitism</v>
      </c>
      <c r="D157" s="59" t="str">
        <f>IFERROR(__xludf.DUMMYFUNCTION("""COMPUTED_VALUE"""),"Instagram")</f>
        <v>Instagram</v>
      </c>
      <c r="E157" s="60" t="str">
        <f>IFERROR(__xludf.DUMMYFUNCTION("""COMPUTED_VALUE"""),"https://www.instagram.com/state_seas/")</f>
        <v>https://www.instagram.com/state_seas/</v>
      </c>
    </row>
    <row r="158">
      <c r="A158" s="59" t="str">
        <f>IFERROR(__xludf.DUMMYFUNCTION("""COMPUTED_VALUE"""),"M")</f>
        <v>M</v>
      </c>
      <c r="B158" s="59" t="str">
        <f>IFERROR(__xludf.DUMMYFUNCTION("""COMPUTED_VALUE"""),"United States")</f>
        <v>United States</v>
      </c>
      <c r="C158" s="59" t="str">
        <f>IFERROR(__xludf.DUMMYFUNCTION("""COMPUTED_VALUE"""),"Art in Embassies")</f>
        <v>Art in Embassies</v>
      </c>
      <c r="D158" s="59" t="str">
        <f>IFERROR(__xludf.DUMMYFUNCTION("""COMPUTED_VALUE"""),"Facebook")</f>
        <v>Facebook</v>
      </c>
      <c r="E158" s="60" t="str">
        <f>IFERROR(__xludf.DUMMYFUNCTION("""COMPUTED_VALUE"""),"https://www.facebook.com/ArtinembassiesAIE")</f>
        <v>https://www.facebook.com/ArtinembassiesAIE</v>
      </c>
    </row>
    <row r="159">
      <c r="A159" s="59" t="str">
        <f>IFERROR(__xludf.DUMMYFUNCTION("""COMPUTED_VALUE"""),"M")</f>
        <v>M</v>
      </c>
      <c r="B159" s="59" t="str">
        <f>IFERROR(__xludf.DUMMYFUNCTION("""COMPUTED_VALUE"""),"United States")</f>
        <v>United States</v>
      </c>
      <c r="C159" s="59" t="str">
        <f>IFERROR(__xludf.DUMMYFUNCTION("""COMPUTED_VALUE"""),"Art in Embassies")</f>
        <v>Art in Embassies</v>
      </c>
      <c r="D159" s="59" t="str">
        <f>IFERROR(__xludf.DUMMYFUNCTION("""COMPUTED_VALUE"""),"X")</f>
        <v>X</v>
      </c>
      <c r="E159" s="60" t="str">
        <f>IFERROR(__xludf.DUMMYFUNCTION("""COMPUTED_VALUE"""),"https://x.com/ArtinEmbassies")</f>
        <v>https://x.com/ArtinEmbassies</v>
      </c>
    </row>
    <row r="160">
      <c r="A160" s="59" t="str">
        <f>IFERROR(__xludf.DUMMYFUNCTION("""COMPUTED_VALUE"""),"M")</f>
        <v>M</v>
      </c>
      <c r="B160" s="59" t="str">
        <f>IFERROR(__xludf.DUMMYFUNCTION("""COMPUTED_VALUE"""),"United States")</f>
        <v>United States</v>
      </c>
      <c r="C160" s="59" t="str">
        <f>IFERROR(__xludf.DUMMYFUNCTION("""COMPUTED_VALUE"""),"Art in Embassies")</f>
        <v>Art in Embassies</v>
      </c>
      <c r="D160" s="59" t="str">
        <f>IFERROR(__xludf.DUMMYFUNCTION("""COMPUTED_VALUE"""),"YouTube")</f>
        <v>YouTube</v>
      </c>
      <c r="E160" s="60" t="str">
        <f>IFERROR(__xludf.DUMMYFUNCTION("""COMPUTED_VALUE"""),"https://www.youtube.com/user/artinembassies")</f>
        <v>https://www.youtube.com/user/artinembassies</v>
      </c>
    </row>
    <row r="161">
      <c r="A161" s="59" t="str">
        <f>IFERROR(__xludf.DUMMYFUNCTION("""COMPUTED_VALUE"""),"M")</f>
        <v>M</v>
      </c>
      <c r="B161" s="59" t="str">
        <f>IFERROR(__xludf.DUMMYFUNCTION("""COMPUTED_VALUE"""),"United States")</f>
        <v>United States</v>
      </c>
      <c r="C161" s="59" t="str">
        <f>IFERROR(__xludf.DUMMYFUNCTION("""COMPUTED_VALUE"""),"Art in Embassies")</f>
        <v>Art in Embassies</v>
      </c>
      <c r="D161" s="59" t="str">
        <f>IFERROR(__xludf.DUMMYFUNCTION("""COMPUTED_VALUE"""),"Instagram")</f>
        <v>Instagram</v>
      </c>
      <c r="E161" s="60" t="str">
        <f>IFERROR(__xludf.DUMMYFUNCTION("""COMPUTED_VALUE"""),"https://www.instagram.com/artinembassies")</f>
        <v>https://www.instagram.com/artinembassies</v>
      </c>
    </row>
    <row r="162">
      <c r="A162" s="59" t="str">
        <f>IFERROR(__xludf.DUMMYFUNCTION("""COMPUTED_VALUE"""),"M")</f>
        <v>M</v>
      </c>
      <c r="B162" s="59" t="str">
        <f>IFERROR(__xludf.DUMMYFUNCTION("""COMPUTED_VALUE"""),"United States")</f>
        <v>United States</v>
      </c>
      <c r="C162" s="59" t="str">
        <f>IFERROR(__xludf.DUMMYFUNCTION("""COMPUTED_VALUE"""),"Director of Art in Embassies")</f>
        <v>Director of Art in Embassies</v>
      </c>
      <c r="D162" s="59" t="str">
        <f>IFERROR(__xludf.DUMMYFUNCTION("""COMPUTED_VALUE"""),"X")</f>
        <v>X</v>
      </c>
      <c r="E162" s="60" t="str">
        <f>IFERROR(__xludf.DUMMYFUNCTION("""COMPUTED_VALUE"""),"https://x.com/DirARTState")</f>
        <v>https://x.com/DirARTState</v>
      </c>
    </row>
    <row r="163">
      <c r="A163" s="59" t="str">
        <f>IFERROR(__xludf.DUMMYFUNCTION("""COMPUTED_VALUE"""),"M")</f>
        <v>M</v>
      </c>
      <c r="B163" s="59" t="str">
        <f>IFERROR(__xludf.DUMMYFUNCTION("""COMPUTED_VALUE"""),"United States")</f>
        <v>United States</v>
      </c>
      <c r="C163" s="59" t="str">
        <f>IFERROR(__xludf.DUMMYFUNCTION("""COMPUTED_VALUE"""),"Director of Art in Embassies")</f>
        <v>Director of Art in Embassies</v>
      </c>
      <c r="D163" s="59" t="str">
        <f>IFERROR(__xludf.DUMMYFUNCTION("""COMPUTED_VALUE"""),"Instagram")</f>
        <v>Instagram</v>
      </c>
      <c r="E163" s="60" t="str">
        <f>IFERROR(__xludf.DUMMYFUNCTION("""COMPUTED_VALUE"""),"https://www.instagram.com/DirARTState/")</f>
        <v>https://www.instagram.com/DirARTState/</v>
      </c>
    </row>
    <row r="164">
      <c r="A164" s="59" t="str">
        <f>IFERROR(__xludf.DUMMYFUNCTION("""COMPUTED_VALUE"""),"M")</f>
        <v>M</v>
      </c>
      <c r="B164" s="59" t="str">
        <f>IFERROR(__xludf.DUMMYFUNCTION("""COMPUTED_VALUE"""),"United States")</f>
        <v>United States</v>
      </c>
      <c r="C164" s="59" t="str">
        <f>IFERROR(__xludf.DUMMYFUNCTION("""COMPUTED_VALUE"""),"Office of Foreign Missions")</f>
        <v>Office of Foreign Missions</v>
      </c>
      <c r="D164" s="59" t="str">
        <f>IFERROR(__xludf.DUMMYFUNCTION("""COMPUTED_VALUE"""),"Facebook")</f>
        <v>Facebook</v>
      </c>
      <c r="E164" s="60" t="str">
        <f>IFERROR(__xludf.DUMMYFUNCTION("""COMPUTED_VALUE"""),"https://www.facebook.com/ofmdc")</f>
        <v>https://www.facebook.com/ofmdc</v>
      </c>
    </row>
    <row r="165">
      <c r="A165" s="59" t="str">
        <f>IFERROR(__xludf.DUMMYFUNCTION("""COMPUTED_VALUE"""),"M")</f>
        <v>M</v>
      </c>
      <c r="B165" s="59" t="str">
        <f>IFERROR(__xludf.DUMMYFUNCTION("""COMPUTED_VALUE"""),"United States")</f>
        <v>United States</v>
      </c>
      <c r="C165" s="59" t="str">
        <f>IFERROR(__xludf.DUMMYFUNCTION("""COMPUTED_VALUE"""),"U.S. Department of State Center for Analytics")</f>
        <v>U.S. Department of State Center for Analytics</v>
      </c>
      <c r="D165" s="59" t="str">
        <f>IFERROR(__xludf.DUMMYFUNCTION("""COMPUTED_VALUE"""),"LinkedIn")</f>
        <v>LinkedIn</v>
      </c>
      <c r="E165" s="60" t="str">
        <f>IFERROR(__xludf.DUMMYFUNCTION("""COMPUTED_VALUE"""),"https://www.linkedin.com/company/doscfa/")</f>
        <v>https://www.linkedin.com/company/doscfa/</v>
      </c>
    </row>
    <row r="166">
      <c r="A166" s="59" t="str">
        <f>IFERROR(__xludf.DUMMYFUNCTION("""COMPUTED_VALUE"""),"MED")</f>
        <v>MED</v>
      </c>
      <c r="B166" s="59" t="str">
        <f>IFERROR(__xludf.DUMMYFUNCTION("""COMPUTED_VALUE"""),"United States")</f>
        <v>United States</v>
      </c>
      <c r="C166" s="59" t="str">
        <f>IFERROR(__xludf.DUMMYFUNCTION("""COMPUTED_VALUE"""),"Bureau of Medical Services")</f>
        <v>Bureau of Medical Services</v>
      </c>
      <c r="D166" s="59" t="str">
        <f>IFERROR(__xludf.DUMMYFUNCTION("""COMPUTED_VALUE"""),"LinkedIn")</f>
        <v>LinkedIn</v>
      </c>
      <c r="E166" s="60" t="str">
        <f>IFERROR(__xludf.DUMMYFUNCTION("""COMPUTED_VALUE"""),"https://www.linkedin.com/showcase/usdos-med/")</f>
        <v>https://www.linkedin.com/showcase/usdos-med/</v>
      </c>
    </row>
    <row r="167">
      <c r="A167" s="59" t="str">
        <f>IFERROR(__xludf.DUMMYFUNCTION("""COMPUTED_VALUE"""),"OBO")</f>
        <v>OBO</v>
      </c>
      <c r="B167" s="59" t="str">
        <f>IFERROR(__xludf.DUMMYFUNCTION("""COMPUTED_VALUE"""),"United States")</f>
        <v>United States</v>
      </c>
      <c r="C167" s="59" t="str">
        <f>IFERROR(__xludf.DUMMYFUNCTION("""COMPUTED_VALUE"""),"Bureau of Overseas Buildings Operations")</f>
        <v>Bureau of Overseas Buildings Operations</v>
      </c>
      <c r="D167" s="59" t="str">
        <f>IFERROR(__xludf.DUMMYFUNCTION("""COMPUTED_VALUE"""),"LinkedIn")</f>
        <v>LinkedIn</v>
      </c>
      <c r="E167" s="60" t="str">
        <f>IFERROR(__xludf.DUMMYFUNCTION("""COMPUTED_VALUE"""),"https://www.linkedin.com/showcase/usdos-obo/")</f>
        <v>https://www.linkedin.com/showcase/usdos-obo/</v>
      </c>
    </row>
    <row r="168">
      <c r="A168" s="59" t="str">
        <f>IFERROR(__xludf.DUMMYFUNCTION("""COMPUTED_VALUE"""),"OBO")</f>
        <v>OBO</v>
      </c>
      <c r="B168" s="59" t="str">
        <f>IFERROR(__xludf.DUMMYFUNCTION("""COMPUTED_VALUE"""),"United States")</f>
        <v>United States</v>
      </c>
      <c r="C168" s="59" t="str">
        <f>IFERROR(__xludf.DUMMYFUNCTION("""COMPUTED_VALUE"""),"Bureau of Overseas Buildings Operations")</f>
        <v>Bureau of Overseas Buildings Operations</v>
      </c>
      <c r="D168" s="59" t="str">
        <f>IFERROR(__xludf.DUMMYFUNCTION("""COMPUTED_VALUE"""),"Facebook")</f>
        <v>Facebook</v>
      </c>
      <c r="E168" s="60" t="str">
        <f>IFERROR(__xludf.DUMMYFUNCTION("""COMPUTED_VALUE"""),"https://www.facebook.com/StateOBO")</f>
        <v>https://www.facebook.com/StateOBO</v>
      </c>
    </row>
    <row r="169">
      <c r="A169" s="59" t="str">
        <f>IFERROR(__xludf.DUMMYFUNCTION("""COMPUTED_VALUE"""),"OBO")</f>
        <v>OBO</v>
      </c>
      <c r="B169" s="59" t="str">
        <f>IFERROR(__xludf.DUMMYFUNCTION("""COMPUTED_VALUE"""),"United States")</f>
        <v>United States</v>
      </c>
      <c r="C169" s="59" t="str">
        <f>IFERROR(__xludf.DUMMYFUNCTION("""COMPUTED_VALUE"""),"Bureau of Overseas Buildings Operations")</f>
        <v>Bureau of Overseas Buildings Operations</v>
      </c>
      <c r="D169" s="59" t="str">
        <f>IFERROR(__xludf.DUMMYFUNCTION("""COMPUTED_VALUE"""),"Threads")</f>
        <v>Threads</v>
      </c>
      <c r="E169" s="60" t="str">
        <f>IFERROR(__xludf.DUMMYFUNCTION("""COMPUTED_VALUE"""),"https://www.threads.net/@state_obo")</f>
        <v>https://www.threads.net/@state_obo</v>
      </c>
    </row>
    <row r="170">
      <c r="A170" s="59" t="str">
        <f>IFERROR(__xludf.DUMMYFUNCTION("""COMPUTED_VALUE"""),"OBO")</f>
        <v>OBO</v>
      </c>
      <c r="B170" s="59" t="str">
        <f>IFERROR(__xludf.DUMMYFUNCTION("""COMPUTED_VALUE"""),"United States")</f>
        <v>United States</v>
      </c>
      <c r="C170" s="59" t="str">
        <f>IFERROR(__xludf.DUMMYFUNCTION("""COMPUTED_VALUE"""),"Bureau of Overseas Buildings Operations")</f>
        <v>Bureau of Overseas Buildings Operations</v>
      </c>
      <c r="D170" s="59" t="str">
        <f>IFERROR(__xludf.DUMMYFUNCTION("""COMPUTED_VALUE"""),"Instagram")</f>
        <v>Instagram</v>
      </c>
      <c r="E170" s="60" t="str">
        <f>IFERROR(__xludf.DUMMYFUNCTION("""COMPUTED_VALUE"""),"https://www.instagram.com/state_obo/")</f>
        <v>https://www.instagram.com/state_obo/</v>
      </c>
    </row>
    <row r="171">
      <c r="A171" s="59" t="str">
        <f>IFERROR(__xludf.DUMMYFUNCTION("""COMPUTED_VALUE"""),"OBO")</f>
        <v>OBO</v>
      </c>
      <c r="B171" s="59" t="str">
        <f>IFERROR(__xludf.DUMMYFUNCTION("""COMPUTED_VALUE"""),"United States")</f>
        <v>United States</v>
      </c>
      <c r="C171" s="59" t="str">
        <f>IFERROR(__xludf.DUMMYFUNCTION("""COMPUTED_VALUE"""),"Bureau of Overseas Buildings Operations")</f>
        <v>Bureau of Overseas Buildings Operations</v>
      </c>
      <c r="D171" s="59" t="str">
        <f>IFERROR(__xludf.DUMMYFUNCTION("""COMPUTED_VALUE"""),"YouTube")</f>
        <v>YouTube</v>
      </c>
      <c r="E171" s="60" t="str">
        <f>IFERROR(__xludf.DUMMYFUNCTION("""COMPUTED_VALUE"""),"https://www.youtube.com/@State_OBO")</f>
        <v>https://www.youtube.com/@State_OBO</v>
      </c>
    </row>
    <row r="172">
      <c r="A172" s="59" t="str">
        <f>IFERROR(__xludf.DUMMYFUNCTION("""COMPUTED_VALUE"""),"OES")</f>
        <v>OES</v>
      </c>
      <c r="B172" s="59" t="str">
        <f>IFERROR(__xludf.DUMMYFUNCTION("""COMPUTED_VALUE"""),"United States")</f>
        <v>United States</v>
      </c>
      <c r="C172" s="59" t="str">
        <f>IFERROR(__xludf.DUMMYFUNCTION("""COMPUTED_VALUE"""),"Bureau of Oceans and International Environmental and Scientific Affairs")</f>
        <v>Bureau of Oceans and International Environmental and Scientific Affairs</v>
      </c>
      <c r="D172" s="59" t="str">
        <f>IFERROR(__xludf.DUMMYFUNCTION("""COMPUTED_VALUE"""),"Facebook")</f>
        <v>Facebook</v>
      </c>
      <c r="E172" s="60" t="str">
        <f>IFERROR(__xludf.DUMMYFUNCTION("""COMPUTED_VALUE"""),"https://www.facebook.com/ScienceDiplomacyUSA/")</f>
        <v>https://www.facebook.com/ScienceDiplomacyUSA/</v>
      </c>
    </row>
    <row r="173">
      <c r="A173" s="59" t="str">
        <f>IFERROR(__xludf.DUMMYFUNCTION("""COMPUTED_VALUE"""),"OES")</f>
        <v>OES</v>
      </c>
      <c r="B173" s="59" t="str">
        <f>IFERROR(__xludf.DUMMYFUNCTION("""COMPUTED_VALUE"""),"United States")</f>
        <v>United States</v>
      </c>
      <c r="C173" s="59" t="str">
        <f>IFERROR(__xludf.DUMMYFUNCTION("""COMPUTED_VALUE"""),"Bureau of Oceans and International Environmental and Scientific Affairs")</f>
        <v>Bureau of Oceans and International Environmental and Scientific Affairs</v>
      </c>
      <c r="D173" s="59" t="str">
        <f>IFERROR(__xludf.DUMMYFUNCTION("""COMPUTED_VALUE"""),"Flickr")</f>
        <v>Flickr</v>
      </c>
      <c r="E173" s="60" t="str">
        <f>IFERROR(__xludf.DUMMYFUNCTION("""COMPUTED_VALUE"""),"https://www.flickr.com/photos/stateoesphotos/")</f>
        <v>https://www.flickr.com/photos/stateoesphotos/</v>
      </c>
    </row>
    <row r="174">
      <c r="A174" s="59" t="str">
        <f>IFERROR(__xludf.DUMMYFUNCTION("""COMPUTED_VALUE"""),"OES")</f>
        <v>OES</v>
      </c>
      <c r="B174" s="59" t="str">
        <f>IFERROR(__xludf.DUMMYFUNCTION("""COMPUTED_VALUE"""),"United States")</f>
        <v>United States</v>
      </c>
      <c r="C174" s="59" t="str">
        <f>IFERROR(__xludf.DUMMYFUNCTION("""COMPUTED_VALUE"""),"Bureau of Oceans and International Environmental and Scientific Affairs")</f>
        <v>Bureau of Oceans and International Environmental and Scientific Affairs</v>
      </c>
      <c r="D174" s="59" t="str">
        <f>IFERROR(__xludf.DUMMYFUNCTION("""COMPUTED_VALUE"""),"YouTube")</f>
        <v>YouTube</v>
      </c>
      <c r="E174" s="60" t="str">
        <f>IFERROR(__xludf.DUMMYFUNCTION("""COMPUTED_VALUE"""),"https://youtube.com/@sciencediplomacyusa429")</f>
        <v>https://youtube.com/@sciencediplomacyusa429</v>
      </c>
    </row>
    <row r="175">
      <c r="A175" s="59" t="str">
        <f>IFERROR(__xludf.DUMMYFUNCTION("""COMPUTED_VALUE"""),"OES")</f>
        <v>OES</v>
      </c>
      <c r="B175" s="59" t="str">
        <f>IFERROR(__xludf.DUMMYFUNCTION("""COMPUTED_VALUE"""),"United States")</f>
        <v>United States</v>
      </c>
      <c r="C175" s="59" t="str">
        <f>IFERROR(__xludf.DUMMYFUNCTION("""COMPUTED_VALUE"""),"Bureau of Oceans and International Environmental and Scientific Affairs")</f>
        <v>Bureau of Oceans and International Environmental and Scientific Affairs</v>
      </c>
      <c r="D175" s="59" t="str">
        <f>IFERROR(__xludf.DUMMYFUNCTION("""COMPUTED_VALUE"""),"X")</f>
        <v>X</v>
      </c>
      <c r="E175" s="60" t="str">
        <f>IFERROR(__xludf.DUMMYFUNCTION("""COMPUTED_VALUE"""),"https://x.com/SciDiplomacyUSA")</f>
        <v>https://x.com/SciDiplomacyUSA</v>
      </c>
    </row>
    <row r="176">
      <c r="A176" s="59" t="str">
        <f>IFERROR(__xludf.DUMMYFUNCTION("""COMPUTED_VALUE"""),"OES")</f>
        <v>OES</v>
      </c>
      <c r="B176" s="59" t="str">
        <f>IFERROR(__xludf.DUMMYFUNCTION("""COMPUTED_VALUE"""),"United States")</f>
        <v>United States</v>
      </c>
      <c r="C176" s="59" t="str">
        <f>IFERROR(__xludf.DUMMYFUNCTION("""COMPUTED_VALUE"""),"Bureau of Oceans and International Environmental and Scientific Affairs")</f>
        <v>Bureau of Oceans and International Environmental and Scientific Affairs</v>
      </c>
      <c r="D176" s="59" t="str">
        <f>IFERROR(__xludf.DUMMYFUNCTION("""COMPUTED_VALUE"""),"Instagram")</f>
        <v>Instagram</v>
      </c>
      <c r="E176" s="60" t="str">
        <f>IFERROR(__xludf.DUMMYFUNCTION("""COMPUTED_VALUE"""),"https://www.instagram.com/sciencediplomacy_usa/")</f>
        <v>https://www.instagram.com/sciencediplomacy_usa/</v>
      </c>
    </row>
    <row r="177">
      <c r="A177" s="59" t="str">
        <f>IFERROR(__xludf.DUMMYFUNCTION("""COMPUTED_VALUE"""),"OES")</f>
        <v>OES</v>
      </c>
      <c r="B177" s="59" t="str">
        <f>IFERROR(__xludf.DUMMYFUNCTION("""COMPUTED_VALUE"""),"United States")</f>
        <v>United States</v>
      </c>
      <c r="C177" s="59" t="str">
        <f>IFERROR(__xludf.DUMMYFUNCTION("""COMPUTED_VALUE"""),"Bureau of Oceans and International Environmental and Scientific Affairs")</f>
        <v>Bureau of Oceans and International Environmental and Scientific Affairs</v>
      </c>
      <c r="D177" s="59" t="str">
        <f>IFERROR(__xludf.DUMMYFUNCTION("""COMPUTED_VALUE"""),"LinkedIn")</f>
        <v>LinkedIn</v>
      </c>
      <c r="E177" s="60" t="str">
        <f>IFERROR(__xludf.DUMMYFUNCTION("""COMPUTED_VALUE"""),"https://www.linkedin.com/company/stateoes/")</f>
        <v>https://www.linkedin.com/company/stateoes/</v>
      </c>
    </row>
    <row r="178">
      <c r="A178" s="59" t="str">
        <f>IFERROR(__xludf.DUMMYFUNCTION("""COMPUTED_VALUE"""),"OES")</f>
        <v>OES</v>
      </c>
      <c r="B178" s="59" t="str">
        <f>IFERROR(__xludf.DUMMYFUNCTION("""COMPUTED_VALUE"""),"United States")</f>
        <v>United States</v>
      </c>
      <c r="C178" s="59" t="str">
        <f>IFERROR(__xludf.DUMMYFUNCTION("""COMPUTED_VALUE"""),"GIST Network")</f>
        <v>GIST Network</v>
      </c>
      <c r="D178" s="59" t="str">
        <f>IFERROR(__xludf.DUMMYFUNCTION("""COMPUTED_VALUE"""),"Facebook")</f>
        <v>Facebook</v>
      </c>
      <c r="E178" s="60" t="str">
        <f>IFERROR(__xludf.DUMMYFUNCTION("""COMPUTED_VALUE"""),"https://www.facebook.com/GISTnet")</f>
        <v>https://www.facebook.com/GISTnet</v>
      </c>
    </row>
    <row r="179">
      <c r="A179" s="59" t="str">
        <f>IFERROR(__xludf.DUMMYFUNCTION("""COMPUTED_VALUE"""),"OES")</f>
        <v>OES</v>
      </c>
      <c r="B179" s="59" t="str">
        <f>IFERROR(__xludf.DUMMYFUNCTION("""COMPUTED_VALUE"""),"United States")</f>
        <v>United States</v>
      </c>
      <c r="C179" s="59" t="str">
        <f>IFERROR(__xludf.DUMMYFUNCTION("""COMPUTED_VALUE"""),"GIST Network")</f>
        <v>GIST Network</v>
      </c>
      <c r="D179" s="59" t="str">
        <f>IFERROR(__xludf.DUMMYFUNCTION("""COMPUTED_VALUE"""),"X")</f>
        <v>X</v>
      </c>
      <c r="E179" s="60" t="str">
        <f>IFERROR(__xludf.DUMMYFUNCTION("""COMPUTED_VALUE"""),"https://x.com/GISTNetwork")</f>
        <v>https://x.com/GISTNetwork</v>
      </c>
    </row>
    <row r="180">
      <c r="A180" s="59" t="str">
        <f>IFERROR(__xludf.DUMMYFUNCTION("""COMPUTED_VALUE"""),"P")</f>
        <v>P</v>
      </c>
      <c r="B180" s="59" t="str">
        <f>IFERROR(__xludf.DUMMYFUNCTION("""COMPUTED_VALUE"""),"United States")</f>
        <v>United States</v>
      </c>
      <c r="C180" s="59" t="str">
        <f>IFERROR(__xludf.DUMMYFUNCTION("""COMPUTED_VALUE"""),"Under Secretary for Political Affairs")</f>
        <v>Under Secretary for Political Affairs</v>
      </c>
      <c r="D180" s="59" t="str">
        <f>IFERROR(__xludf.DUMMYFUNCTION("""COMPUTED_VALUE"""),"X")</f>
        <v>X</v>
      </c>
      <c r="E180" s="60" t="str">
        <f>IFERROR(__xludf.DUMMYFUNCTION("""COMPUTED_VALUE"""),"https://x.com/UnderSecStateP")</f>
        <v>https://x.com/UnderSecStateP</v>
      </c>
    </row>
    <row r="181">
      <c r="A181" s="59" t="str">
        <f>IFERROR(__xludf.DUMMYFUNCTION("""COMPUTED_VALUE"""),"PM")</f>
        <v>PM</v>
      </c>
      <c r="B181" s="59" t="str">
        <f>IFERROR(__xludf.DUMMYFUNCTION("""COMPUTED_VALUE"""),"United States")</f>
        <v>United States</v>
      </c>
      <c r="C181" s="59" t="str">
        <f>IFERROR(__xludf.DUMMYFUNCTION("""COMPUTED_VALUE"""),"Assistant Secretary Bureau of Political-Military Affairs")</f>
        <v>Assistant Secretary Bureau of Political-Military Affairs</v>
      </c>
      <c r="D181" s="59" t="str">
        <f>IFERROR(__xludf.DUMMYFUNCTION("""COMPUTED_VALUE"""),"X")</f>
        <v>X</v>
      </c>
      <c r="E181" s="60" t="str">
        <f>IFERROR(__xludf.DUMMYFUNCTION("""COMPUTED_VALUE"""),"https://x.com/AsstSecPM")</f>
        <v>https://x.com/AsstSecPM</v>
      </c>
    </row>
    <row r="182">
      <c r="A182" s="59" t="str">
        <f>IFERROR(__xludf.DUMMYFUNCTION("""COMPUTED_VALUE"""),"PM")</f>
        <v>PM</v>
      </c>
      <c r="B182" s="59" t="str">
        <f>IFERROR(__xludf.DUMMYFUNCTION("""COMPUTED_VALUE"""),"United States")</f>
        <v>United States</v>
      </c>
      <c r="C182" s="59" t="str">
        <f>IFERROR(__xludf.DUMMYFUNCTION("""COMPUTED_VALUE"""),"Bureau of Political-Military Affairs")</f>
        <v>Bureau of Political-Military Affairs</v>
      </c>
      <c r="D182" s="59" t="str">
        <f>IFERROR(__xludf.DUMMYFUNCTION("""COMPUTED_VALUE"""),"X")</f>
        <v>X</v>
      </c>
      <c r="E182" s="60" t="str">
        <f>IFERROR(__xludf.DUMMYFUNCTION("""COMPUTED_VALUE"""),"https://x.com/StateDeptPM")</f>
        <v>https://x.com/StateDeptPM</v>
      </c>
    </row>
    <row r="183">
      <c r="A183" s="59" t="str">
        <f>IFERROR(__xludf.DUMMYFUNCTION("""COMPUTED_VALUE"""),"PRM")</f>
        <v>PRM</v>
      </c>
      <c r="B183" s="59" t="str">
        <f>IFERROR(__xludf.DUMMYFUNCTION("""COMPUTED_VALUE"""),"United States")</f>
        <v>United States</v>
      </c>
      <c r="C183" s="59" t="str">
        <f>IFERROR(__xludf.DUMMYFUNCTION("""COMPUTED_VALUE"""),"Assistant Secretary of State for the Bureau of Population, Refugees, and Migration")</f>
        <v>Assistant Secretary of State for the Bureau of Population, Refugees, and Migration</v>
      </c>
      <c r="D183" s="59" t="str">
        <f>IFERROR(__xludf.DUMMYFUNCTION("""COMPUTED_VALUE"""),"X")</f>
        <v>X</v>
      </c>
      <c r="E183" s="60" t="str">
        <f>IFERROR(__xludf.DUMMYFUNCTION("""COMPUTED_VALUE"""),"https://x.com/PRMAsstSec")</f>
        <v>https://x.com/PRMAsstSec</v>
      </c>
    </row>
    <row r="184">
      <c r="A184" s="59" t="str">
        <f>IFERROR(__xludf.DUMMYFUNCTION("""COMPUTED_VALUE"""),"PRM")</f>
        <v>PRM</v>
      </c>
      <c r="B184" s="59" t="str">
        <f>IFERROR(__xludf.DUMMYFUNCTION("""COMPUTED_VALUE"""),"United States")</f>
        <v>United States</v>
      </c>
      <c r="C184" s="59" t="str">
        <f>IFERROR(__xludf.DUMMYFUNCTION("""COMPUTED_VALUE"""),"Bureau of Population, Refugees, and Migration")</f>
        <v>Bureau of Population, Refugees, and Migration</v>
      </c>
      <c r="D184" s="59" t="str">
        <f>IFERROR(__xludf.DUMMYFUNCTION("""COMPUTED_VALUE"""),"Facebook")</f>
        <v>Facebook</v>
      </c>
      <c r="E184" s="60" t="str">
        <f>IFERROR(__xludf.DUMMYFUNCTION("""COMPUTED_VALUE"""),"https://www.facebook.com/State.PRM")</f>
        <v>https://www.facebook.com/State.PRM</v>
      </c>
    </row>
    <row r="185">
      <c r="A185" s="59" t="str">
        <f>IFERROR(__xludf.DUMMYFUNCTION("""COMPUTED_VALUE"""),"PRM")</f>
        <v>PRM</v>
      </c>
      <c r="B185" s="59" t="str">
        <f>IFERROR(__xludf.DUMMYFUNCTION("""COMPUTED_VALUE"""),"United States")</f>
        <v>United States</v>
      </c>
      <c r="C185" s="59" t="str">
        <f>IFERROR(__xludf.DUMMYFUNCTION("""COMPUTED_VALUE"""),"Bureau of Population, Refugees, and Migration")</f>
        <v>Bureau of Population, Refugees, and Migration</v>
      </c>
      <c r="D185" s="59" t="str">
        <f>IFERROR(__xludf.DUMMYFUNCTION("""COMPUTED_VALUE"""),"Flickr")</f>
        <v>Flickr</v>
      </c>
      <c r="E185" s="60" t="str">
        <f>IFERROR(__xludf.DUMMYFUNCTION("""COMPUTED_VALUE"""),"https://www.flickr.com/photos/stateprm/")</f>
        <v>https://www.flickr.com/photos/stateprm/</v>
      </c>
    </row>
    <row r="186">
      <c r="A186" s="4" t="str">
        <f>IFERROR(__xludf.DUMMYFUNCTION("""COMPUTED_VALUE"""),"PRM")</f>
        <v>PRM</v>
      </c>
      <c r="B186" s="4" t="str">
        <f>IFERROR(__xludf.DUMMYFUNCTION("""COMPUTED_VALUE"""),"United States")</f>
        <v>United States</v>
      </c>
      <c r="C186" s="4" t="str">
        <f>IFERROR(__xludf.DUMMYFUNCTION("""COMPUTED_VALUE"""),"Bureau of Population, Refugees, and Migration")</f>
        <v>Bureau of Population, Refugees, and Migration</v>
      </c>
      <c r="D186" s="4" t="str">
        <f>IFERROR(__xludf.DUMMYFUNCTION("""COMPUTED_VALUE"""),"Instagram")</f>
        <v>Instagram</v>
      </c>
      <c r="E186" s="6" t="str">
        <f>IFERROR(__xludf.DUMMYFUNCTION("""COMPUTED_VALUE"""),"https://www.instagram.com/stateprm/")</f>
        <v>https://www.instagram.com/stateprm/</v>
      </c>
    </row>
    <row r="187">
      <c r="A187" s="4" t="str">
        <f>IFERROR(__xludf.DUMMYFUNCTION("""COMPUTED_VALUE"""),"PRM")</f>
        <v>PRM</v>
      </c>
      <c r="B187" s="4" t="str">
        <f>IFERROR(__xludf.DUMMYFUNCTION("""COMPUTED_VALUE"""),"United States")</f>
        <v>United States</v>
      </c>
      <c r="C187" s="4" t="str">
        <f>IFERROR(__xludf.DUMMYFUNCTION("""COMPUTED_VALUE"""),"Bureau of Population, Refugees, and Migration")</f>
        <v>Bureau of Population, Refugees, and Migration</v>
      </c>
      <c r="D187" s="4" t="str">
        <f>IFERROR(__xludf.DUMMYFUNCTION("""COMPUTED_VALUE"""),"X")</f>
        <v>X</v>
      </c>
      <c r="E187" s="6" t="str">
        <f>IFERROR(__xludf.DUMMYFUNCTION("""COMPUTED_VALUE"""),"https://x.com/StatePRM")</f>
        <v>https://x.com/StatePRM</v>
      </c>
    </row>
    <row r="188">
      <c r="A188" s="4" t="str">
        <f>IFERROR(__xludf.DUMMYFUNCTION("""COMPUTED_VALUE"""),"R")</f>
        <v>R</v>
      </c>
      <c r="B188" s="4" t="str">
        <f>IFERROR(__xludf.DUMMYFUNCTION("""COMPUTED_VALUE"""),"United States")</f>
        <v>United States</v>
      </c>
      <c r="C188" s="4" t="str">
        <f>IFERROR(__xludf.DUMMYFUNCTION("""COMPUTED_VALUE"""),"National Museum of American Diplomacy")</f>
        <v>National Museum of American Diplomacy</v>
      </c>
      <c r="D188" s="4" t="str">
        <f>IFERROR(__xludf.DUMMYFUNCTION("""COMPUTED_VALUE"""),"Facebook")</f>
        <v>Facebook</v>
      </c>
      <c r="E188" s="3" t="str">
        <f>IFERROR(__xludf.DUMMYFUNCTION("""COMPUTED_VALUE"""),"https://www.facebook.com/NMADmuseum/")</f>
        <v>https://www.facebook.com/NMADmuseum/</v>
      </c>
    </row>
    <row r="189">
      <c r="A189" s="4" t="str">
        <f>IFERROR(__xludf.DUMMYFUNCTION("""COMPUTED_VALUE"""),"R")</f>
        <v>R</v>
      </c>
      <c r="B189" s="4" t="str">
        <f>IFERROR(__xludf.DUMMYFUNCTION("""COMPUTED_VALUE"""),"United States")</f>
        <v>United States</v>
      </c>
      <c r="C189" s="4" t="str">
        <f>IFERROR(__xludf.DUMMYFUNCTION("""COMPUTED_VALUE"""),"National Museum of American Diplomacy")</f>
        <v>National Museum of American Diplomacy</v>
      </c>
      <c r="D189" s="4" t="str">
        <f>IFERROR(__xludf.DUMMYFUNCTION("""COMPUTED_VALUE"""),"Instagram")</f>
        <v>Instagram</v>
      </c>
      <c r="E189" s="6" t="str">
        <f>IFERROR(__xludf.DUMMYFUNCTION("""COMPUTED_VALUE"""),"https://www.instagram.com/NMADmuseum")</f>
        <v>https://www.instagram.com/NMADmuseum</v>
      </c>
    </row>
    <row r="190">
      <c r="A190" s="4" t="str">
        <f>IFERROR(__xludf.DUMMYFUNCTION("""COMPUTED_VALUE"""),"R")</f>
        <v>R</v>
      </c>
      <c r="B190" s="4" t="str">
        <f>IFERROR(__xludf.DUMMYFUNCTION("""COMPUTED_VALUE"""),"United States")</f>
        <v>United States</v>
      </c>
      <c r="C190" s="4" t="str">
        <f>IFERROR(__xludf.DUMMYFUNCTION("""COMPUTED_VALUE"""),"National Museum of American Diplomacy")</f>
        <v>National Museum of American Diplomacy</v>
      </c>
      <c r="D190" s="4" t="str">
        <f>IFERROR(__xludf.DUMMYFUNCTION("""COMPUTED_VALUE"""),"Flickr")</f>
        <v>Flickr</v>
      </c>
      <c r="E190" s="6" t="str">
        <f>IFERROR(__xludf.DUMMYFUNCTION("""COMPUTED_VALUE"""),"https://www.flickr.com/photos/nmadmuseum/")</f>
        <v>https://www.flickr.com/photos/nmadmuseum/</v>
      </c>
    </row>
    <row r="191">
      <c r="A191" s="4" t="str">
        <f>IFERROR(__xludf.DUMMYFUNCTION("""COMPUTED_VALUE"""),"R")</f>
        <v>R</v>
      </c>
      <c r="B191" s="4" t="str">
        <f>IFERROR(__xludf.DUMMYFUNCTION("""COMPUTED_VALUE"""),"United States")</f>
        <v>United States</v>
      </c>
      <c r="C191" s="4" t="str">
        <f>IFERROR(__xludf.DUMMYFUNCTION("""COMPUTED_VALUE"""),"National Museum of American Diplomacy")</f>
        <v>National Museum of American Diplomacy</v>
      </c>
      <c r="D191" s="4" t="str">
        <f>IFERROR(__xludf.DUMMYFUNCTION("""COMPUTED_VALUE"""),"Threads")</f>
        <v>Threads</v>
      </c>
      <c r="E191" s="6" t="str">
        <f>IFERROR(__xludf.DUMMYFUNCTION("""COMPUTED_VALUE"""),"https://www.threads.net/@nmadmuseum")</f>
        <v>https://www.threads.net/@nmadmuseum</v>
      </c>
    </row>
    <row r="192">
      <c r="A192" s="59" t="str">
        <f>IFERROR(__xludf.DUMMYFUNCTION("""COMPUTED_VALUE"""),"R")</f>
        <v>R</v>
      </c>
      <c r="B192" s="59" t="str">
        <f>IFERROR(__xludf.DUMMYFUNCTION("""COMPUTED_VALUE"""),"United States")</f>
        <v>United States</v>
      </c>
      <c r="C192" s="59" t="str">
        <f>IFERROR(__xludf.DUMMYFUNCTION("""COMPUTED_VALUE"""),"National Museum of American Diplomacy")</f>
        <v>National Museum of American Diplomacy</v>
      </c>
      <c r="D192" s="59" t="str">
        <f>IFERROR(__xludf.DUMMYFUNCTION("""COMPUTED_VALUE"""),"X")</f>
        <v>X</v>
      </c>
      <c r="E192" s="60" t="str">
        <f>IFERROR(__xludf.DUMMYFUNCTION("""COMPUTED_VALUE"""),"https://x.com/NMADmuseum")</f>
        <v>https://x.com/NMADmuseum</v>
      </c>
    </row>
    <row r="193">
      <c r="A193" s="59" t="str">
        <f>IFERROR(__xludf.DUMMYFUNCTION("""COMPUTED_VALUE"""),"R")</f>
        <v>R</v>
      </c>
      <c r="B193" s="59" t="str">
        <f>IFERROR(__xludf.DUMMYFUNCTION("""COMPUTED_VALUE"""),"United States")</f>
        <v>United States</v>
      </c>
      <c r="C193" s="59" t="str">
        <f>IFERROR(__xludf.DUMMYFUNCTION("""COMPUTED_VALUE"""),"National Museum of American Diplomacy")</f>
        <v>National Museum of American Diplomacy</v>
      </c>
      <c r="D193" s="59" t="str">
        <f>IFERROR(__xludf.DUMMYFUNCTION("""COMPUTED_VALUE"""),"LinkedIn")</f>
        <v>LinkedIn</v>
      </c>
      <c r="E193" s="60" t="str">
        <f>IFERROR(__xludf.DUMMYFUNCTION("""COMPUTED_VALUE"""),"https://www.linkedin.com/company/nmadmuseum/")</f>
        <v>https://www.linkedin.com/company/nmadmuseum/</v>
      </c>
    </row>
    <row r="194">
      <c r="A194" s="59" t="str">
        <f>IFERROR(__xludf.DUMMYFUNCTION("""COMPUTED_VALUE"""),"R")</f>
        <v>R</v>
      </c>
      <c r="B194" s="59" t="str">
        <f>IFERROR(__xludf.DUMMYFUNCTION("""COMPUTED_VALUE"""),"United States")</f>
        <v>United States</v>
      </c>
      <c r="C194" s="59" t="str">
        <f>IFERROR(__xludf.DUMMYFUNCTION("""COMPUTED_VALUE"""),"Under Secretary of State for Public Diplomacy and Public Affairs")</f>
        <v>Under Secretary of State for Public Diplomacy and Public Affairs</v>
      </c>
      <c r="D194" s="59" t="str">
        <f>IFERROR(__xludf.DUMMYFUNCTION("""COMPUTED_VALUE"""),"X")</f>
        <v>X</v>
      </c>
      <c r="E194" s="60" t="str">
        <f>IFERROR(__xludf.DUMMYFUNCTION("""COMPUTED_VALUE"""),"https://x.com/UndersecPD")</f>
        <v>https://x.com/UndersecPD</v>
      </c>
    </row>
    <row r="195">
      <c r="A195" s="59" t="str">
        <f>IFERROR(__xludf.DUMMYFUNCTION("""COMPUTED_VALUE"""),"S")</f>
        <v>S</v>
      </c>
      <c r="B195" s="59" t="str">
        <f>IFERROR(__xludf.DUMMYFUNCTION("""COMPUTED_VALUE"""),"United States")</f>
        <v>United States</v>
      </c>
      <c r="C195" s="59" t="str">
        <f>IFERROR(__xludf.DUMMYFUNCTION("""COMPUTED_VALUE"""),"Bureau of Global Health Security and Diplomacy")</f>
        <v>Bureau of Global Health Security and Diplomacy</v>
      </c>
      <c r="D195" s="59" t="str">
        <f>IFERROR(__xludf.DUMMYFUNCTION("""COMPUTED_VALUE"""),"LinkedIn")</f>
        <v>LinkedIn</v>
      </c>
      <c r="E195" s="60" t="str">
        <f>IFERROR(__xludf.DUMMYFUNCTION("""COMPUTED_VALUE"""),"https://www.linkedin.com/company/state-global-health-security-and-diplomacy/")</f>
        <v>https://www.linkedin.com/company/state-global-health-security-and-diplomacy/</v>
      </c>
    </row>
    <row r="196">
      <c r="A196" s="59" t="str">
        <f>IFERROR(__xludf.DUMMYFUNCTION("""COMPUTED_VALUE"""),"S")</f>
        <v>S</v>
      </c>
      <c r="B196" s="59" t="str">
        <f>IFERROR(__xludf.DUMMYFUNCTION("""COMPUTED_VALUE"""),"United States")</f>
        <v>United States</v>
      </c>
      <c r="C196" s="59" t="str">
        <f>IFERROR(__xludf.DUMMYFUNCTION("""COMPUTED_VALUE"""),"Counselor of the Department")</f>
        <v>Counselor of the Department</v>
      </c>
      <c r="D196" s="59" t="str">
        <f>IFERROR(__xludf.DUMMYFUNCTION("""COMPUTED_VALUE"""),"X")</f>
        <v>X</v>
      </c>
      <c r="E196" s="60" t="str">
        <f>IFERROR(__xludf.DUMMYFUNCTION("""COMPUTED_VALUE"""),"https://x.com/CounselorDOS")</f>
        <v>https://x.com/CounselorDOS</v>
      </c>
    </row>
    <row r="197">
      <c r="A197" s="59" t="str">
        <f>IFERROR(__xludf.DUMMYFUNCTION("""COMPUTED_VALUE"""),"S")</f>
        <v>S</v>
      </c>
      <c r="B197" s="59" t="str">
        <f>IFERROR(__xludf.DUMMYFUNCTION("""COMPUTED_VALUE"""),"United States")</f>
        <v>United States</v>
      </c>
      <c r="C197" s="59" t="str">
        <f>IFERROR(__xludf.DUMMYFUNCTION("""COMPUTED_VALUE"""),"Office of Global Women's Issues")</f>
        <v>Office of Global Women's Issues</v>
      </c>
      <c r="D197" s="59" t="str">
        <f>IFERROR(__xludf.DUMMYFUNCTION("""COMPUTED_VALUE"""),"X")</f>
        <v>X</v>
      </c>
      <c r="E197" s="60" t="str">
        <f>IFERROR(__xludf.DUMMYFUNCTION("""COMPUTED_VALUE"""),"https://x.com/stategwi")</f>
        <v>https://x.com/stategwi</v>
      </c>
    </row>
    <row r="198">
      <c r="A198" s="59" t="str">
        <f>IFERROR(__xludf.DUMMYFUNCTION("""COMPUTED_VALUE"""),"S")</f>
        <v>S</v>
      </c>
      <c r="B198" s="59" t="str">
        <f>IFERROR(__xludf.DUMMYFUNCTION("""COMPUTED_VALUE"""),"United States")</f>
        <v>United States</v>
      </c>
      <c r="C198" s="59" t="str">
        <f>IFERROR(__xludf.DUMMYFUNCTION("""COMPUTED_VALUE"""),"Office of Global Women's Issues")</f>
        <v>Office of Global Women's Issues</v>
      </c>
      <c r="D198" s="59" t="str">
        <f>IFERROR(__xludf.DUMMYFUNCTION("""COMPUTED_VALUE"""),"Facebook")</f>
        <v>Facebook</v>
      </c>
      <c r="E198" s="60" t="str">
        <f>IFERROR(__xludf.DUMMYFUNCTION("""COMPUTED_VALUE"""),"https://www.facebook.com/StateGWI/")</f>
        <v>https://www.facebook.com/StateGWI/</v>
      </c>
    </row>
    <row r="199">
      <c r="A199" s="59" t="str">
        <f>IFERROR(__xludf.DUMMYFUNCTION("""COMPUTED_VALUE"""),"S")</f>
        <v>S</v>
      </c>
      <c r="B199" s="59" t="str">
        <f>IFERROR(__xludf.DUMMYFUNCTION("""COMPUTED_VALUE"""),"United States")</f>
        <v>United States</v>
      </c>
      <c r="C199" s="59" t="str">
        <f>IFERROR(__xludf.DUMMYFUNCTION("""COMPUTED_VALUE"""),"Office of Global Women's Issues")</f>
        <v>Office of Global Women's Issues</v>
      </c>
      <c r="D199" s="59" t="str">
        <f>IFERROR(__xludf.DUMMYFUNCTION("""COMPUTED_VALUE"""),"LinkedIn")</f>
        <v>LinkedIn</v>
      </c>
      <c r="E199" s="60" t="str">
        <f>IFERROR(__xludf.DUMMYFUNCTION("""COMPUTED_VALUE"""),"https://www.linkedin.com/company/stategwi/")</f>
        <v>https://www.linkedin.com/company/stategwi/</v>
      </c>
    </row>
    <row r="200">
      <c r="A200" s="59" t="str">
        <f>IFERROR(__xludf.DUMMYFUNCTION("""COMPUTED_VALUE"""),"S")</f>
        <v>S</v>
      </c>
      <c r="B200" s="59" t="str">
        <f>IFERROR(__xludf.DUMMYFUNCTION("""COMPUTED_VALUE"""),"United States")</f>
        <v>United States</v>
      </c>
      <c r="C200" s="59" t="str">
        <f>IFERROR(__xludf.DUMMYFUNCTION("""COMPUTED_VALUE"""),"Office of the Chief of Protocol")</f>
        <v>Office of the Chief of Protocol</v>
      </c>
      <c r="D200" s="59" t="str">
        <f>IFERROR(__xludf.DUMMYFUNCTION("""COMPUTED_VALUE"""),"X")</f>
        <v>X</v>
      </c>
      <c r="E200" s="60" t="str">
        <f>IFERROR(__xludf.DUMMYFUNCTION("""COMPUTED_VALUE"""),"https://x.com/US_Protocol")</f>
        <v>https://x.com/US_Protocol</v>
      </c>
    </row>
    <row r="201">
      <c r="A201" s="59" t="str">
        <f>IFERROR(__xludf.DUMMYFUNCTION("""COMPUTED_VALUE"""),"S")</f>
        <v>S</v>
      </c>
      <c r="B201" s="59" t="str">
        <f>IFERROR(__xludf.DUMMYFUNCTION("""COMPUTED_VALUE"""),"United States")</f>
        <v>United States</v>
      </c>
      <c r="C201" s="59" t="str">
        <f>IFERROR(__xludf.DUMMYFUNCTION("""COMPUTED_VALUE"""),"Office of the Chief of Protocol")</f>
        <v>Office of the Chief of Protocol</v>
      </c>
      <c r="D201" s="59" t="str">
        <f>IFERROR(__xludf.DUMMYFUNCTION("""COMPUTED_VALUE"""),"Instagram")</f>
        <v>Instagram</v>
      </c>
      <c r="E201" s="60" t="str">
        <f>IFERROR(__xludf.DUMMYFUNCTION("""COMPUTED_VALUE"""),"https://www.instagram.com/us_protocol")</f>
        <v>https://www.instagram.com/us_protocol</v>
      </c>
    </row>
    <row r="202">
      <c r="A202" s="59" t="str">
        <f>IFERROR(__xludf.DUMMYFUNCTION("""COMPUTED_VALUE"""),"S")</f>
        <v>S</v>
      </c>
      <c r="B202" s="59" t="str">
        <f>IFERROR(__xludf.DUMMYFUNCTION("""COMPUTED_VALUE"""),"United States")</f>
        <v>United States</v>
      </c>
      <c r="C202" s="59" t="str">
        <f>IFERROR(__xludf.DUMMYFUNCTION("""COMPUTED_VALUE"""),"Office of the Inspector General")</f>
        <v>Office of the Inspector General</v>
      </c>
      <c r="D202" s="59" t="str">
        <f>IFERROR(__xludf.DUMMYFUNCTION("""COMPUTED_VALUE"""),"X")</f>
        <v>X</v>
      </c>
      <c r="E202" s="60" t="str">
        <f>IFERROR(__xludf.DUMMYFUNCTION("""COMPUTED_VALUE"""),"https://x.com/StateOIG")</f>
        <v>https://x.com/StateOIG</v>
      </c>
    </row>
    <row r="203">
      <c r="A203" s="59" t="str">
        <f>IFERROR(__xludf.DUMMYFUNCTION("""COMPUTED_VALUE"""),"S")</f>
        <v>S</v>
      </c>
      <c r="B203" s="59" t="str">
        <f>IFERROR(__xludf.DUMMYFUNCTION("""COMPUTED_VALUE"""),"United States")</f>
        <v>United States</v>
      </c>
      <c r="C203" s="59" t="str">
        <f>IFERROR(__xludf.DUMMYFUNCTION("""COMPUTED_VALUE"""),"Office of the U.S. Coordinator for the Arctic Region")</f>
        <v>Office of the U.S. Coordinator for the Arctic Region</v>
      </c>
      <c r="D203" s="59" t="str">
        <f>IFERROR(__xludf.DUMMYFUNCTION("""COMPUTED_VALUE"""),"X")</f>
        <v>X</v>
      </c>
      <c r="E203" s="60" t="str">
        <f>IFERROR(__xludf.DUMMYFUNCTION("""COMPUTED_VALUE"""),"https://x.com/us_arctic")</f>
        <v>https://x.com/us_arctic</v>
      </c>
    </row>
    <row r="204">
      <c r="A204" s="59" t="str">
        <f>IFERROR(__xludf.DUMMYFUNCTION("""COMPUTED_VALUE"""),"S")</f>
        <v>S</v>
      </c>
      <c r="B204" s="59" t="str">
        <f>IFERROR(__xludf.DUMMYFUNCTION("""COMPUTED_VALUE"""),"United States")</f>
        <v>United States</v>
      </c>
      <c r="C204" s="59" t="str">
        <f>IFERROR(__xludf.DUMMYFUNCTION("""COMPUTED_VALUE"""),"PEPFAR")</f>
        <v>PEPFAR</v>
      </c>
      <c r="D204" s="59" t="str">
        <f>IFERROR(__xludf.DUMMYFUNCTION("""COMPUTED_VALUE"""),"X")</f>
        <v>X</v>
      </c>
      <c r="E204" s="60" t="str">
        <f>IFERROR(__xludf.DUMMYFUNCTION("""COMPUTED_VALUE"""),"https://x.com/PEPFAR")</f>
        <v>https://x.com/PEPFAR</v>
      </c>
    </row>
    <row r="205">
      <c r="A205" s="59" t="str">
        <f>IFERROR(__xludf.DUMMYFUNCTION("""COMPUTED_VALUE"""),"S")</f>
        <v>S</v>
      </c>
      <c r="B205" s="59" t="str">
        <f>IFERROR(__xludf.DUMMYFUNCTION("""COMPUTED_VALUE"""),"United States")</f>
        <v>United States</v>
      </c>
      <c r="C205" s="59" t="str">
        <f>IFERROR(__xludf.DUMMYFUNCTION("""COMPUTED_VALUE"""),"PEPFAR")</f>
        <v>PEPFAR</v>
      </c>
      <c r="D205" s="59" t="str">
        <f>IFERROR(__xludf.DUMMYFUNCTION("""COMPUTED_VALUE"""),"Instagram")</f>
        <v>Instagram</v>
      </c>
      <c r="E205" s="60" t="str">
        <f>IFERROR(__xludf.DUMMYFUNCTION("""COMPUTED_VALUE"""),"https://www.instagram.com/pepfar/")</f>
        <v>https://www.instagram.com/pepfar/</v>
      </c>
    </row>
    <row r="206">
      <c r="A206" s="59" t="str">
        <f>IFERROR(__xludf.DUMMYFUNCTION("""COMPUTED_VALUE"""),"S")</f>
        <v>S</v>
      </c>
      <c r="B206" s="59" t="str">
        <f>IFERROR(__xludf.DUMMYFUNCTION("""COMPUTED_VALUE"""),"United States")</f>
        <v>United States</v>
      </c>
      <c r="C206" s="59" t="str">
        <f>IFERROR(__xludf.DUMMYFUNCTION("""COMPUTED_VALUE"""),"PEPFAR")</f>
        <v>PEPFAR</v>
      </c>
      <c r="D206" s="59" t="str">
        <f>IFERROR(__xludf.DUMMYFUNCTION("""COMPUTED_VALUE"""),"YouTube")</f>
        <v>YouTube</v>
      </c>
      <c r="E206" s="60" t="str">
        <f>IFERROR(__xludf.DUMMYFUNCTION("""COMPUTED_VALUE"""),"https://www.youtube.com/user/uspepfar")</f>
        <v>https://www.youtube.com/user/uspepfar</v>
      </c>
    </row>
    <row r="207">
      <c r="A207" s="59" t="str">
        <f>IFERROR(__xludf.DUMMYFUNCTION("""COMPUTED_VALUE"""),"S")</f>
        <v>S</v>
      </c>
      <c r="B207" s="59" t="str">
        <f>IFERROR(__xludf.DUMMYFUNCTION("""COMPUTED_VALUE"""),"United States")</f>
        <v>United States</v>
      </c>
      <c r="C207" s="59" t="str">
        <f>IFERROR(__xludf.DUMMYFUNCTION("""COMPUTED_VALUE"""),"PEPFAR")</f>
        <v>PEPFAR</v>
      </c>
      <c r="D207" s="59" t="str">
        <f>IFERROR(__xludf.DUMMYFUNCTION("""COMPUTED_VALUE"""),"Facebook")</f>
        <v>Facebook</v>
      </c>
      <c r="E207" s="60" t="str">
        <f>IFERROR(__xludf.DUMMYFUNCTION("""COMPUTED_VALUE"""),"https://www.facebook.com/PEPFAR")</f>
        <v>https://www.facebook.com/PEPFAR</v>
      </c>
    </row>
    <row r="208">
      <c r="A208" s="59" t="str">
        <f>IFERROR(__xludf.DUMMYFUNCTION("""COMPUTED_VALUE"""),"S")</f>
        <v>S</v>
      </c>
      <c r="B208" s="59" t="str">
        <f>IFERROR(__xludf.DUMMYFUNCTION("""COMPUTED_VALUE"""),"United States")</f>
        <v>United States</v>
      </c>
      <c r="C208" s="59" t="str">
        <f>IFERROR(__xludf.DUMMYFUNCTION("""COMPUTED_VALUE"""),"Secretary of State")</f>
        <v>Secretary of State</v>
      </c>
      <c r="D208" s="59" t="str">
        <f>IFERROR(__xludf.DUMMYFUNCTION("""COMPUTED_VALUE"""),"X")</f>
        <v>X</v>
      </c>
      <c r="E208" s="60" t="str">
        <f>IFERROR(__xludf.DUMMYFUNCTION("""COMPUTED_VALUE"""),"https://x.com/secrubio")</f>
        <v>https://x.com/secrubio</v>
      </c>
    </row>
    <row r="209">
      <c r="A209" s="59" t="str">
        <f>IFERROR(__xludf.DUMMYFUNCTION("""COMPUTED_VALUE"""),"S")</f>
        <v>S</v>
      </c>
      <c r="B209" s="59" t="str">
        <f>IFERROR(__xludf.DUMMYFUNCTION("""COMPUTED_VALUE"""),"United States")</f>
        <v>United States</v>
      </c>
      <c r="C209" s="59" t="str">
        <f>IFERROR(__xludf.DUMMYFUNCTION("""COMPUTED_VALUE"""),"Secretary of State")</f>
        <v>Secretary of State</v>
      </c>
      <c r="D209" s="59" t="str">
        <f>IFERROR(__xludf.DUMMYFUNCTION("""COMPUTED_VALUE"""),"Instagram")</f>
        <v>Instagram</v>
      </c>
      <c r="E209" s="60" t="str">
        <f>IFERROR(__xludf.DUMMYFUNCTION("""COMPUTED_VALUE"""),"https://www.instagram.com/secrubio/")</f>
        <v>https://www.instagram.com/secrubio/</v>
      </c>
    </row>
    <row r="210">
      <c r="A210" s="59" t="str">
        <f>IFERROR(__xludf.DUMMYFUNCTION("""COMPUTED_VALUE"""),"S")</f>
        <v>S</v>
      </c>
      <c r="B210" s="59" t="str">
        <f>IFERROR(__xludf.DUMMYFUNCTION("""COMPUTED_VALUE"""),"United States")</f>
        <v>United States</v>
      </c>
      <c r="C210" s="59" t="str">
        <f>IFERROR(__xludf.DUMMYFUNCTION("""COMPUTED_VALUE"""),"Special Representative for City and State Diplomacy")</f>
        <v>Special Representative for City and State Diplomacy</v>
      </c>
      <c r="D210" s="59" t="str">
        <f>IFERROR(__xludf.DUMMYFUNCTION("""COMPUTED_VALUE"""),"X")</f>
        <v>X</v>
      </c>
      <c r="E210" s="60" t="str">
        <f>IFERROR(__xludf.DUMMYFUNCTION("""COMPUTED_VALUE"""),"https://x.com/SubnationalDip")</f>
        <v>https://x.com/SubnationalDip</v>
      </c>
    </row>
    <row r="211">
      <c r="A211" s="59" t="str">
        <f>IFERROR(__xludf.DUMMYFUNCTION("""COMPUTED_VALUE"""),"S")</f>
        <v>S</v>
      </c>
      <c r="B211" s="59" t="str">
        <f>IFERROR(__xludf.DUMMYFUNCTION("""COMPUTED_VALUE"""),"United States")</f>
        <v>United States</v>
      </c>
      <c r="C211" s="59" t="str">
        <f>IFERROR(__xludf.DUMMYFUNCTION("""COMPUTED_VALUE"""),"U.S. Special Presidential Envoy for Hostage Affairs")</f>
        <v>U.S. Special Presidential Envoy for Hostage Affairs</v>
      </c>
      <c r="D211" s="59" t="str">
        <f>IFERROR(__xludf.DUMMYFUNCTION("""COMPUTED_VALUE"""),"X")</f>
        <v>X</v>
      </c>
      <c r="E211" s="60" t="str">
        <f>IFERROR(__xludf.DUMMYFUNCTION("""COMPUTED_VALUE"""),"https://x.com/StateSPEHA")</f>
        <v>https://x.com/StateSPEHA</v>
      </c>
    </row>
    <row r="212">
      <c r="A212" s="59" t="str">
        <f>IFERROR(__xludf.DUMMYFUNCTION("""COMPUTED_VALUE"""),"T")</f>
        <v>T</v>
      </c>
      <c r="B212" s="59" t="str">
        <f>IFERROR(__xludf.DUMMYFUNCTION("""COMPUTED_VALUE"""),"United States")</f>
        <v>United States</v>
      </c>
      <c r="C212" s="59" t="str">
        <f>IFERROR(__xludf.DUMMYFUNCTION("""COMPUTED_VALUE"""),"Under Secretary of State for Arms Control and International Security")</f>
        <v>Under Secretary of State for Arms Control and International Security</v>
      </c>
      <c r="D212" s="59" t="str">
        <f>IFERROR(__xludf.DUMMYFUNCTION("""COMPUTED_VALUE"""),"X")</f>
        <v>X</v>
      </c>
      <c r="E212" s="60" t="str">
        <f>IFERROR(__xludf.DUMMYFUNCTION("""COMPUTED_VALUE"""),"https://x.com/undersect")</f>
        <v>https://x.com/undersect</v>
      </c>
    </row>
    <row r="213">
      <c r="A213" s="59" t="str">
        <f>IFERROR(__xludf.DUMMYFUNCTION("""COMPUTED_VALUE"""),"AF")</f>
        <v>AF</v>
      </c>
      <c r="B213" s="59" t="str">
        <f>IFERROR(__xludf.DUMMYFUNCTION("""COMPUTED_VALUE"""),"Angola")</f>
        <v>Angola</v>
      </c>
      <c r="C213" s="59" t="str">
        <f>IFERROR(__xludf.DUMMYFUNCTION("""COMPUTED_VALUE"""),"U.S. Ambassador to Angola")</f>
        <v>U.S. Ambassador to Angola</v>
      </c>
      <c r="D213" s="59" t="str">
        <f>IFERROR(__xludf.DUMMYFUNCTION("""COMPUTED_VALUE"""),"X")</f>
        <v>X</v>
      </c>
      <c r="E213" s="60" t="str">
        <f>IFERROR(__xludf.DUMMYFUNCTION("""COMPUTED_VALUE"""),"https://x.com/USAmbAngola")</f>
        <v>https://x.com/USAmbAngola</v>
      </c>
    </row>
    <row r="214">
      <c r="A214" s="59" t="str">
        <f>IFERROR(__xludf.DUMMYFUNCTION("""COMPUTED_VALUE"""),"AF")</f>
        <v>AF</v>
      </c>
      <c r="B214" s="59" t="str">
        <f>IFERROR(__xludf.DUMMYFUNCTION("""COMPUTED_VALUE"""),"Angola")</f>
        <v>Angola</v>
      </c>
      <c r="C214" s="59" t="str">
        <f>IFERROR(__xludf.DUMMYFUNCTION("""COMPUTED_VALUE"""),"U.S. Embassy Luanda")</f>
        <v>U.S. Embassy Luanda</v>
      </c>
      <c r="D214" s="59" t="str">
        <f>IFERROR(__xludf.DUMMYFUNCTION("""COMPUTED_VALUE"""),"Facebook")</f>
        <v>Facebook</v>
      </c>
      <c r="E214" s="60" t="str">
        <f>IFERROR(__xludf.DUMMYFUNCTION("""COMPUTED_VALUE"""),"https://www.facebook.com/USinLuanda")</f>
        <v>https://www.facebook.com/USinLuanda</v>
      </c>
    </row>
    <row r="215">
      <c r="A215" s="59" t="str">
        <f>IFERROR(__xludf.DUMMYFUNCTION("""COMPUTED_VALUE"""),"AF")</f>
        <v>AF</v>
      </c>
      <c r="B215" s="59" t="str">
        <f>IFERROR(__xludf.DUMMYFUNCTION("""COMPUTED_VALUE"""),"Angola")</f>
        <v>Angola</v>
      </c>
      <c r="C215" s="59" t="str">
        <f>IFERROR(__xludf.DUMMYFUNCTION("""COMPUTED_VALUE"""),"U.S. Embassy Luanda")</f>
        <v>U.S. Embassy Luanda</v>
      </c>
      <c r="D215" s="59" t="str">
        <f>IFERROR(__xludf.DUMMYFUNCTION("""COMPUTED_VALUE"""),"Instagram")</f>
        <v>Instagram</v>
      </c>
      <c r="E215" s="60" t="str">
        <f>IFERROR(__xludf.DUMMYFUNCTION("""COMPUTED_VALUE"""),"https://www.instagram.com/usembassyluanda/")</f>
        <v>https://www.instagram.com/usembassyluanda/</v>
      </c>
    </row>
    <row r="216">
      <c r="A216" s="59" t="str">
        <f>IFERROR(__xludf.DUMMYFUNCTION("""COMPUTED_VALUE"""),"AF")</f>
        <v>AF</v>
      </c>
      <c r="B216" s="59" t="str">
        <f>IFERROR(__xludf.DUMMYFUNCTION("""COMPUTED_VALUE"""),"Angola")</f>
        <v>Angola</v>
      </c>
      <c r="C216" s="59" t="str">
        <f>IFERROR(__xludf.DUMMYFUNCTION("""COMPUTED_VALUE"""),"U.S. Embassy Luanda")</f>
        <v>U.S. Embassy Luanda</v>
      </c>
      <c r="D216" s="59" t="str">
        <f>IFERROR(__xludf.DUMMYFUNCTION("""COMPUTED_VALUE"""),"X")</f>
        <v>X</v>
      </c>
      <c r="E216" s="60" t="str">
        <f>IFERROR(__xludf.DUMMYFUNCTION("""COMPUTED_VALUE"""),"https://x.com/usambangola/")</f>
        <v>https://x.com/usambangola/</v>
      </c>
    </row>
    <row r="217">
      <c r="A217" s="59" t="str">
        <f>IFERROR(__xludf.DUMMYFUNCTION("""COMPUTED_VALUE"""),"AF")</f>
        <v>AF</v>
      </c>
      <c r="B217" s="59" t="str">
        <f>IFERROR(__xludf.DUMMYFUNCTION("""COMPUTED_VALUE"""),"Benin")</f>
        <v>Benin</v>
      </c>
      <c r="C217" s="59" t="str">
        <f>IFERROR(__xludf.DUMMYFUNCTION("""COMPUTED_VALUE"""),"U.S. Embassy Cotonou")</f>
        <v>U.S. Embassy Cotonou</v>
      </c>
      <c r="D217" s="59" t="str">
        <f>IFERROR(__xludf.DUMMYFUNCTION("""COMPUTED_VALUE"""),"Facebook")</f>
        <v>Facebook</v>
      </c>
      <c r="E217" s="60" t="str">
        <f>IFERROR(__xludf.DUMMYFUNCTION("""COMPUTED_VALUE"""),"https://www.facebook.com/usembassybenin/")</f>
        <v>https://www.facebook.com/usembassybenin/</v>
      </c>
    </row>
    <row r="218">
      <c r="A218" s="59" t="str">
        <f>IFERROR(__xludf.DUMMYFUNCTION("""COMPUTED_VALUE"""),"AF")</f>
        <v>AF</v>
      </c>
      <c r="B218" s="59" t="str">
        <f>IFERROR(__xludf.DUMMYFUNCTION("""COMPUTED_VALUE"""),"Benin")</f>
        <v>Benin</v>
      </c>
      <c r="C218" s="59" t="str">
        <f>IFERROR(__xludf.DUMMYFUNCTION("""COMPUTED_VALUE"""),"U.S. Embassy Cotonou")</f>
        <v>U.S. Embassy Cotonou</v>
      </c>
      <c r="D218" s="59" t="str">
        <f>IFERROR(__xludf.DUMMYFUNCTION("""COMPUTED_VALUE"""),"X")</f>
        <v>X</v>
      </c>
      <c r="E218" s="60" t="str">
        <f>IFERROR(__xludf.DUMMYFUNCTION("""COMPUTED_VALUE"""),"https://x.com/USEmbassyBenin")</f>
        <v>https://x.com/USEmbassyBenin</v>
      </c>
    </row>
    <row r="219">
      <c r="A219" s="59" t="str">
        <f>IFERROR(__xludf.DUMMYFUNCTION("""COMPUTED_VALUE"""),"AF")</f>
        <v>AF</v>
      </c>
      <c r="B219" s="59" t="str">
        <f>IFERROR(__xludf.DUMMYFUNCTION("""COMPUTED_VALUE"""),"Benin")</f>
        <v>Benin</v>
      </c>
      <c r="C219" s="59" t="str">
        <f>IFERROR(__xludf.DUMMYFUNCTION("""COMPUTED_VALUE"""),"U.S. Embassy Cotonou")</f>
        <v>U.S. Embassy Cotonou</v>
      </c>
      <c r="D219" s="59" t="str">
        <f>IFERROR(__xludf.DUMMYFUNCTION("""COMPUTED_VALUE"""),"Flickr")</f>
        <v>Flickr</v>
      </c>
      <c r="E219" s="60" t="str">
        <f>IFERROR(__xludf.DUMMYFUNCTION("""COMPUTED_VALUE"""),"https://www.flickr.com/photos/benin_cca")</f>
        <v>https://www.flickr.com/photos/benin_cca</v>
      </c>
    </row>
    <row r="220">
      <c r="A220" s="59" t="str">
        <f>IFERROR(__xludf.DUMMYFUNCTION("""COMPUTED_VALUE"""),"AF")</f>
        <v>AF</v>
      </c>
      <c r="B220" s="59" t="str">
        <f>IFERROR(__xludf.DUMMYFUNCTION("""COMPUTED_VALUE"""),"Benin")</f>
        <v>Benin</v>
      </c>
      <c r="C220" s="59" t="str">
        <f>IFERROR(__xludf.DUMMYFUNCTION("""COMPUTED_VALUE"""),"U.S. Embassy Cotonou")</f>
        <v>U.S. Embassy Cotonou</v>
      </c>
      <c r="D220" s="59" t="str">
        <f>IFERROR(__xludf.DUMMYFUNCTION("""COMPUTED_VALUE"""),"YouTube")</f>
        <v>YouTube</v>
      </c>
      <c r="E220" s="60" t="str">
        <f>IFERROR(__xludf.DUMMYFUNCTION("""COMPUTED_VALUE"""),"https://youtube.com/@usembassycotonou")</f>
        <v>https://youtube.com/@usembassycotonou</v>
      </c>
    </row>
    <row r="221">
      <c r="A221" s="59" t="str">
        <f>IFERROR(__xludf.DUMMYFUNCTION("""COMPUTED_VALUE"""),"AF")</f>
        <v>AF</v>
      </c>
      <c r="B221" s="59" t="str">
        <f>IFERROR(__xludf.DUMMYFUNCTION("""COMPUTED_VALUE"""),"Botswana")</f>
        <v>Botswana</v>
      </c>
      <c r="C221" s="59" t="str">
        <f>IFERROR(__xludf.DUMMYFUNCTION("""COMPUTED_VALUE"""),"U.S. Embassy Gaborone")</f>
        <v>U.S. Embassy Gaborone</v>
      </c>
      <c r="D221" s="59" t="str">
        <f>IFERROR(__xludf.DUMMYFUNCTION("""COMPUTED_VALUE"""),"Facebook")</f>
        <v>Facebook</v>
      </c>
      <c r="E221" s="60" t="str">
        <f>IFERROR(__xludf.DUMMYFUNCTION("""COMPUTED_VALUE"""),"https://www.facebook.com/U.S.EmbassyGaborone/")</f>
        <v>https://www.facebook.com/U.S.EmbassyGaborone/</v>
      </c>
    </row>
    <row r="222">
      <c r="A222" s="59" t="str">
        <f>IFERROR(__xludf.DUMMYFUNCTION("""COMPUTED_VALUE"""),"AF")</f>
        <v>AF</v>
      </c>
      <c r="B222" s="59" t="str">
        <f>IFERROR(__xludf.DUMMYFUNCTION("""COMPUTED_VALUE"""),"Botswana")</f>
        <v>Botswana</v>
      </c>
      <c r="C222" s="59" t="str">
        <f>IFERROR(__xludf.DUMMYFUNCTION("""COMPUTED_VALUE"""),"U.S. Embassy Gaborone")</f>
        <v>U.S. Embassy Gaborone</v>
      </c>
      <c r="D222" s="59" t="str">
        <f>IFERROR(__xludf.DUMMYFUNCTION("""COMPUTED_VALUE"""),"Instagram")</f>
        <v>Instagram</v>
      </c>
      <c r="E222" s="60" t="str">
        <f>IFERROR(__xludf.DUMMYFUNCTION("""COMPUTED_VALUE"""),"https://www.instagram.com/usembassybw/")</f>
        <v>https://www.instagram.com/usembassybw/</v>
      </c>
    </row>
    <row r="223">
      <c r="A223" s="59" t="str">
        <f>IFERROR(__xludf.DUMMYFUNCTION("""COMPUTED_VALUE"""),"AF")</f>
        <v>AF</v>
      </c>
      <c r="B223" s="59" t="str">
        <f>IFERROR(__xludf.DUMMYFUNCTION("""COMPUTED_VALUE"""),"Botswana")</f>
        <v>Botswana</v>
      </c>
      <c r="C223" s="59" t="str">
        <f>IFERROR(__xludf.DUMMYFUNCTION("""COMPUTED_VALUE"""),"U.S. Embassy Gaborone")</f>
        <v>U.S. Embassy Gaborone</v>
      </c>
      <c r="D223" s="59" t="str">
        <f>IFERROR(__xludf.DUMMYFUNCTION("""COMPUTED_VALUE"""),"X")</f>
        <v>X</v>
      </c>
      <c r="E223" s="60" t="str">
        <f>IFERROR(__xludf.DUMMYFUNCTION("""COMPUTED_VALUE"""),"https://x.com/USEmbassyBW")</f>
        <v>https://x.com/USEmbassyBW</v>
      </c>
    </row>
    <row r="224">
      <c r="A224" s="59" t="str">
        <f>IFERROR(__xludf.DUMMYFUNCTION("""COMPUTED_VALUE"""),"AF")</f>
        <v>AF</v>
      </c>
      <c r="B224" s="59" t="str">
        <f>IFERROR(__xludf.DUMMYFUNCTION("""COMPUTED_VALUE"""),"Botswana")</f>
        <v>Botswana</v>
      </c>
      <c r="C224" s="59" t="str">
        <f>IFERROR(__xludf.DUMMYFUNCTION("""COMPUTED_VALUE"""),"U.S. Embassy Gaborone")</f>
        <v>U.S. Embassy Gaborone</v>
      </c>
      <c r="D224" s="59" t="str">
        <f>IFERROR(__xludf.DUMMYFUNCTION("""COMPUTED_VALUE"""),"YouTube")</f>
        <v>YouTube</v>
      </c>
      <c r="E224" s="60" t="str">
        <f>IFERROR(__xludf.DUMMYFUNCTION("""COMPUTED_VALUE"""),"https://youtube.com/@u.s.missionbotswana8534")</f>
        <v>https://youtube.com/@u.s.missionbotswana8534</v>
      </c>
    </row>
    <row r="225">
      <c r="A225" s="59" t="str">
        <f>IFERROR(__xludf.DUMMYFUNCTION("""COMPUTED_VALUE"""),"AF")</f>
        <v>AF</v>
      </c>
      <c r="B225" s="59" t="str">
        <f>IFERROR(__xludf.DUMMYFUNCTION("""COMPUTED_VALUE"""),"Botswana")</f>
        <v>Botswana</v>
      </c>
      <c r="C225" s="59" t="str">
        <f>IFERROR(__xludf.DUMMYFUNCTION("""COMPUTED_VALUE"""),"U.S. Embassy Gaborone")</f>
        <v>U.S. Embassy Gaborone</v>
      </c>
      <c r="D225" s="59" t="str">
        <f>IFERROR(__xludf.DUMMYFUNCTION("""COMPUTED_VALUE"""),"Flickr")</f>
        <v>Flickr</v>
      </c>
      <c r="E225" s="60" t="str">
        <f>IFERROR(__xludf.DUMMYFUNCTION("""COMPUTED_VALUE"""),"https://www.flickr.com/photos/usembassybotswana/")</f>
        <v>https://www.flickr.com/photos/usembassybotswana/</v>
      </c>
    </row>
    <row r="226">
      <c r="A226" s="59" t="str">
        <f>IFERROR(__xludf.DUMMYFUNCTION("""COMPUTED_VALUE"""),"AF")</f>
        <v>AF</v>
      </c>
      <c r="B226" s="59" t="str">
        <f>IFERROR(__xludf.DUMMYFUNCTION("""COMPUTED_VALUE"""),"Burkina Faso")</f>
        <v>Burkina Faso</v>
      </c>
      <c r="C226" s="59" t="str">
        <f>IFERROR(__xludf.DUMMYFUNCTION("""COMPUTED_VALUE"""),"U.S. Embassy Ouagadougou")</f>
        <v>U.S. Embassy Ouagadougou</v>
      </c>
      <c r="D226" s="59" t="str">
        <f>IFERROR(__xludf.DUMMYFUNCTION("""COMPUTED_VALUE"""),"Facebook")</f>
        <v>Facebook</v>
      </c>
      <c r="E226" s="60" t="str">
        <f>IFERROR(__xludf.DUMMYFUNCTION("""COMPUTED_VALUE"""),"https://www.facebook.com/U.S.EmbassyBF/")</f>
        <v>https://www.facebook.com/U.S.EmbassyBF/</v>
      </c>
    </row>
    <row r="227">
      <c r="A227" s="59" t="str">
        <f>IFERROR(__xludf.DUMMYFUNCTION("""COMPUTED_VALUE"""),"AF")</f>
        <v>AF</v>
      </c>
      <c r="B227" s="59" t="str">
        <f>IFERROR(__xludf.DUMMYFUNCTION("""COMPUTED_VALUE"""),"Burkina Faso")</f>
        <v>Burkina Faso</v>
      </c>
      <c r="C227" s="59" t="str">
        <f>IFERROR(__xludf.DUMMYFUNCTION("""COMPUTED_VALUE"""),"U.S. Embassy Ouagadougou")</f>
        <v>U.S. Embassy Ouagadougou</v>
      </c>
      <c r="D227" s="59" t="str">
        <f>IFERROR(__xludf.DUMMYFUNCTION("""COMPUTED_VALUE"""),"Instagram")</f>
        <v>Instagram</v>
      </c>
      <c r="E227" s="60" t="str">
        <f>IFERROR(__xludf.DUMMYFUNCTION("""COMPUTED_VALUE"""),"https://www.instagram.com/usembassyouaga/")</f>
        <v>https://www.instagram.com/usembassyouaga/</v>
      </c>
    </row>
    <row r="228">
      <c r="A228" s="59" t="str">
        <f>IFERROR(__xludf.DUMMYFUNCTION("""COMPUTED_VALUE"""),"AF")</f>
        <v>AF</v>
      </c>
      <c r="B228" s="59" t="str">
        <f>IFERROR(__xludf.DUMMYFUNCTION("""COMPUTED_VALUE"""),"Burkina Faso")</f>
        <v>Burkina Faso</v>
      </c>
      <c r="C228" s="59" t="str">
        <f>IFERROR(__xludf.DUMMYFUNCTION("""COMPUTED_VALUE"""),"U.S. Embassy Ouagadougou")</f>
        <v>U.S. Embassy Ouagadougou</v>
      </c>
      <c r="D228" s="59" t="str">
        <f>IFERROR(__xludf.DUMMYFUNCTION("""COMPUTED_VALUE"""),"X")</f>
        <v>X</v>
      </c>
      <c r="E228" s="60" t="str">
        <f>IFERROR(__xludf.DUMMYFUNCTION("""COMPUTED_VALUE"""),"https://x.com/Usembassyouaga")</f>
        <v>https://x.com/Usembassyouaga</v>
      </c>
    </row>
    <row r="229">
      <c r="A229" s="59" t="str">
        <f>IFERROR(__xludf.DUMMYFUNCTION("""COMPUTED_VALUE"""),"AF")</f>
        <v>AF</v>
      </c>
      <c r="B229" s="59" t="str">
        <f>IFERROR(__xludf.DUMMYFUNCTION("""COMPUTED_VALUE"""),"Burkina Faso")</f>
        <v>Burkina Faso</v>
      </c>
      <c r="C229" s="59" t="str">
        <f>IFERROR(__xludf.DUMMYFUNCTION("""COMPUTED_VALUE"""),"U.S. Embassy Ouagadougou")</f>
        <v>U.S. Embassy Ouagadougou</v>
      </c>
      <c r="D229" s="59" t="str">
        <f>IFERROR(__xludf.DUMMYFUNCTION("""COMPUTED_VALUE"""),"YouTube")</f>
        <v>YouTube</v>
      </c>
      <c r="E229" s="60" t="str">
        <f>IFERROR(__xludf.DUMMYFUNCTION("""COMPUTED_VALUE"""),"https://www.youtube.com/user/usembassyburkina")</f>
        <v>https://www.youtube.com/user/usembassyburkina</v>
      </c>
    </row>
    <row r="230">
      <c r="A230" s="59" t="str">
        <f>IFERROR(__xludf.DUMMYFUNCTION("""COMPUTED_VALUE"""),"AF")</f>
        <v>AF</v>
      </c>
      <c r="B230" s="59" t="str">
        <f>IFERROR(__xludf.DUMMYFUNCTION("""COMPUTED_VALUE"""),"Burundi")</f>
        <v>Burundi</v>
      </c>
      <c r="C230" s="59" t="str">
        <f>IFERROR(__xludf.DUMMYFUNCTION("""COMPUTED_VALUE"""),"U.S. Embassy Bujumbura")</f>
        <v>U.S. Embassy Bujumbura</v>
      </c>
      <c r="D230" s="59" t="str">
        <f>IFERROR(__xludf.DUMMYFUNCTION("""COMPUTED_VALUE"""),"Facebook")</f>
        <v>Facebook</v>
      </c>
      <c r="E230" s="60" t="str">
        <f>IFERROR(__xludf.DUMMYFUNCTION("""COMPUTED_VALUE"""),"https://www.facebook.com/usembassy.bujumbura/")</f>
        <v>https://www.facebook.com/usembassy.bujumbura/</v>
      </c>
    </row>
    <row r="231">
      <c r="A231" s="59" t="str">
        <f>IFERROR(__xludf.DUMMYFUNCTION("""COMPUTED_VALUE"""),"AF")</f>
        <v>AF</v>
      </c>
      <c r="B231" s="59" t="str">
        <f>IFERROR(__xludf.DUMMYFUNCTION("""COMPUTED_VALUE"""),"Burundi")</f>
        <v>Burundi</v>
      </c>
      <c r="C231" s="59" t="str">
        <f>IFERROR(__xludf.DUMMYFUNCTION("""COMPUTED_VALUE"""),"U.S. Embassy Bujumbura")</f>
        <v>U.S. Embassy Bujumbura</v>
      </c>
      <c r="D231" s="59" t="str">
        <f>IFERROR(__xludf.DUMMYFUNCTION("""COMPUTED_VALUE"""),"X")</f>
        <v>X</v>
      </c>
      <c r="E231" s="60" t="str">
        <f>IFERROR(__xludf.DUMMYFUNCTION("""COMPUTED_VALUE"""),"https://x.com/US_Emb_Burundi")</f>
        <v>https://x.com/US_Emb_Burundi</v>
      </c>
    </row>
    <row r="232">
      <c r="A232" s="59" t="str">
        <f>IFERROR(__xludf.DUMMYFUNCTION("""COMPUTED_VALUE"""),"AF")</f>
        <v>AF</v>
      </c>
      <c r="B232" s="59" t="str">
        <f>IFERROR(__xludf.DUMMYFUNCTION("""COMPUTED_VALUE"""),"Cabo Verde")</f>
        <v>Cabo Verde</v>
      </c>
      <c r="C232" s="59" t="str">
        <f>IFERROR(__xludf.DUMMYFUNCTION("""COMPUTED_VALUE"""),"U.S. Embassy Praia")</f>
        <v>U.S. Embassy Praia</v>
      </c>
      <c r="D232" s="59" t="str">
        <f>IFERROR(__xludf.DUMMYFUNCTION("""COMPUTED_VALUE"""),"Facebook")</f>
        <v>Facebook</v>
      </c>
      <c r="E232" s="60" t="str">
        <f>IFERROR(__xludf.DUMMYFUNCTION("""COMPUTED_VALUE"""),"https://www.facebook.com/USEmbassyPraia/")</f>
        <v>https://www.facebook.com/USEmbassyPraia/</v>
      </c>
    </row>
    <row r="233">
      <c r="A233" s="59" t="str">
        <f>IFERROR(__xludf.DUMMYFUNCTION("""COMPUTED_VALUE"""),"AF")</f>
        <v>AF</v>
      </c>
      <c r="B233" s="59" t="str">
        <f>IFERROR(__xludf.DUMMYFUNCTION("""COMPUTED_VALUE"""),"Cabo Verde")</f>
        <v>Cabo Verde</v>
      </c>
      <c r="C233" s="59" t="str">
        <f>IFERROR(__xludf.DUMMYFUNCTION("""COMPUTED_VALUE"""),"U.S. Embassy Praia")</f>
        <v>U.S. Embassy Praia</v>
      </c>
      <c r="D233" s="59" t="str">
        <f>IFERROR(__xludf.DUMMYFUNCTION("""COMPUTED_VALUE"""),"Instagram")</f>
        <v>Instagram</v>
      </c>
      <c r="E233" s="60" t="str">
        <f>IFERROR(__xludf.DUMMYFUNCTION("""COMPUTED_VALUE"""),"https://www.instagram.com/usembassypraia")</f>
        <v>https://www.instagram.com/usembassypraia</v>
      </c>
    </row>
    <row r="234">
      <c r="A234" s="59" t="str">
        <f>IFERROR(__xludf.DUMMYFUNCTION("""COMPUTED_VALUE"""),"AF")</f>
        <v>AF</v>
      </c>
      <c r="B234" s="59" t="str">
        <f>IFERROR(__xludf.DUMMYFUNCTION("""COMPUTED_VALUE"""),"Cabo Verde")</f>
        <v>Cabo Verde</v>
      </c>
      <c r="C234" s="59" t="str">
        <f>IFERROR(__xludf.DUMMYFUNCTION("""COMPUTED_VALUE"""),"U.S. Embassy Praia")</f>
        <v>U.S. Embassy Praia</v>
      </c>
      <c r="D234" s="59" t="str">
        <f>IFERROR(__xludf.DUMMYFUNCTION("""COMPUTED_VALUE"""),"X")</f>
        <v>X</v>
      </c>
      <c r="E234" s="60" t="str">
        <f>IFERROR(__xludf.DUMMYFUNCTION("""COMPUTED_VALUE"""),"https://x.com/USEmbassyPraia")</f>
        <v>https://x.com/USEmbassyPraia</v>
      </c>
    </row>
    <row r="235">
      <c r="A235" s="59" t="str">
        <f>IFERROR(__xludf.DUMMYFUNCTION("""COMPUTED_VALUE"""),"AF")</f>
        <v>AF</v>
      </c>
      <c r="B235" s="59" t="str">
        <f>IFERROR(__xludf.DUMMYFUNCTION("""COMPUTED_VALUE"""),"Cabo Verde")</f>
        <v>Cabo Verde</v>
      </c>
      <c r="C235" s="59" t="str">
        <f>IFERROR(__xludf.DUMMYFUNCTION("""COMPUTED_VALUE"""),"U.S. Embassy Praia")</f>
        <v>U.S. Embassy Praia</v>
      </c>
      <c r="D235" s="59" t="str">
        <f>IFERROR(__xludf.DUMMYFUNCTION("""COMPUTED_VALUE"""),"Flickr")</f>
        <v>Flickr</v>
      </c>
      <c r="E235" s="60" t="str">
        <f>IFERROR(__xludf.DUMMYFUNCTION("""COMPUTED_VALUE"""),"https://www.flickr.com/photos/embaixadaeua-caboverde/")</f>
        <v>https://www.flickr.com/photos/embaixadaeua-caboverde/</v>
      </c>
    </row>
    <row r="236">
      <c r="A236" s="59" t="str">
        <f>IFERROR(__xludf.DUMMYFUNCTION("""COMPUTED_VALUE"""),"AF")</f>
        <v>AF</v>
      </c>
      <c r="B236" s="59" t="str">
        <f>IFERROR(__xludf.DUMMYFUNCTION("""COMPUTED_VALUE"""),"Cameroon")</f>
        <v>Cameroon</v>
      </c>
      <c r="C236" s="59" t="str">
        <f>IFERROR(__xludf.DUMMYFUNCTION("""COMPUTED_VALUE"""),"U.S. Embassy Yaounde")</f>
        <v>U.S. Embassy Yaounde</v>
      </c>
      <c r="D236" s="59" t="str">
        <f>IFERROR(__xludf.DUMMYFUNCTION("""COMPUTED_VALUE"""),"Facebook")</f>
        <v>Facebook</v>
      </c>
      <c r="E236" s="60" t="str">
        <f>IFERROR(__xludf.DUMMYFUNCTION("""COMPUTED_VALUE"""),"https://www.facebook.com/yaounde.usembassy/")</f>
        <v>https://www.facebook.com/yaounde.usembassy/</v>
      </c>
    </row>
    <row r="237">
      <c r="A237" s="59" t="str">
        <f>IFERROR(__xludf.DUMMYFUNCTION("""COMPUTED_VALUE"""),"AF")</f>
        <v>AF</v>
      </c>
      <c r="B237" s="59" t="str">
        <f>IFERROR(__xludf.DUMMYFUNCTION("""COMPUTED_VALUE"""),"Cameroon")</f>
        <v>Cameroon</v>
      </c>
      <c r="C237" s="59" t="str">
        <f>IFERROR(__xludf.DUMMYFUNCTION("""COMPUTED_VALUE"""),"U.S. Embassy Yaounde")</f>
        <v>U.S. Embassy Yaounde</v>
      </c>
      <c r="D237" s="59" t="str">
        <f>IFERROR(__xludf.DUMMYFUNCTION("""COMPUTED_VALUE"""),"Instagram")</f>
        <v>Instagram</v>
      </c>
      <c r="E237" s="60" t="str">
        <f>IFERROR(__xludf.DUMMYFUNCTION("""COMPUTED_VALUE"""),"https://www.instagram.com/usembyaounde?")</f>
        <v>https://www.instagram.com/usembyaounde?</v>
      </c>
    </row>
    <row r="238">
      <c r="A238" s="59" t="str">
        <f>IFERROR(__xludf.DUMMYFUNCTION("""COMPUTED_VALUE"""),"AF")</f>
        <v>AF</v>
      </c>
      <c r="B238" s="59" t="str">
        <f>IFERROR(__xludf.DUMMYFUNCTION("""COMPUTED_VALUE"""),"Cameroon")</f>
        <v>Cameroon</v>
      </c>
      <c r="C238" s="59" t="str">
        <f>IFERROR(__xludf.DUMMYFUNCTION("""COMPUTED_VALUE"""),"U.S. Embassy Yaounde")</f>
        <v>U.S. Embassy Yaounde</v>
      </c>
      <c r="D238" s="59" t="str">
        <f>IFERROR(__xludf.DUMMYFUNCTION("""COMPUTED_VALUE"""),"X")</f>
        <v>X</v>
      </c>
      <c r="E238" s="60" t="str">
        <f>IFERROR(__xludf.DUMMYFUNCTION("""COMPUTED_VALUE"""),"https://x.com/USEmbYaounde")</f>
        <v>https://x.com/USEmbYaounde</v>
      </c>
    </row>
    <row r="239">
      <c r="A239" s="59" t="str">
        <f>IFERROR(__xludf.DUMMYFUNCTION("""COMPUTED_VALUE"""),"AF")</f>
        <v>AF</v>
      </c>
      <c r="B239" s="59" t="str">
        <f>IFERROR(__xludf.DUMMYFUNCTION("""COMPUTED_VALUE"""),"Cameroon")</f>
        <v>Cameroon</v>
      </c>
      <c r="C239" s="59" t="str">
        <f>IFERROR(__xludf.DUMMYFUNCTION("""COMPUTED_VALUE"""),"U.S. Embassy Yaounde")</f>
        <v>U.S. Embassy Yaounde</v>
      </c>
      <c r="D239" s="59" t="str">
        <f>IFERROR(__xludf.DUMMYFUNCTION("""COMPUTED_VALUE"""),"YouTube")</f>
        <v>YouTube</v>
      </c>
      <c r="E239" s="60" t="str">
        <f>IFERROR(__xludf.DUMMYFUNCTION("""COMPUTED_VALUE"""),"https://www.youtube.com/@USEmbassyYaounde")</f>
        <v>https://www.youtube.com/@USEmbassyYaounde</v>
      </c>
    </row>
    <row r="240">
      <c r="A240" s="59" t="str">
        <f>IFERROR(__xludf.DUMMYFUNCTION("""COMPUTED_VALUE"""),"AF")</f>
        <v>AF</v>
      </c>
      <c r="B240" s="59" t="str">
        <f>IFERROR(__xludf.DUMMYFUNCTION("""COMPUTED_VALUE"""),"Central African Republic")</f>
        <v>Central African Republic</v>
      </c>
      <c r="C240" s="59" t="str">
        <f>IFERROR(__xludf.DUMMYFUNCTION("""COMPUTED_VALUE"""),"U.S. Embassy Bangui")</f>
        <v>U.S. Embassy Bangui</v>
      </c>
      <c r="D240" s="59" t="str">
        <f>IFERROR(__xludf.DUMMYFUNCTION("""COMPUTED_VALUE"""),"Facebook")</f>
        <v>Facebook</v>
      </c>
      <c r="E240" s="60" t="str">
        <f>IFERROR(__xludf.DUMMYFUNCTION("""COMPUTED_VALUE"""),"https://www.facebook.com/usembassy.bangui/")</f>
        <v>https://www.facebook.com/usembassy.bangui/</v>
      </c>
    </row>
    <row r="241">
      <c r="A241" s="59" t="str">
        <f>IFERROR(__xludf.DUMMYFUNCTION("""COMPUTED_VALUE"""),"AF")</f>
        <v>AF</v>
      </c>
      <c r="B241" s="59" t="str">
        <f>IFERROR(__xludf.DUMMYFUNCTION("""COMPUTED_VALUE"""),"Central African Republic")</f>
        <v>Central African Republic</v>
      </c>
      <c r="C241" s="59" t="str">
        <f>IFERROR(__xludf.DUMMYFUNCTION("""COMPUTED_VALUE"""),"U.S. Embassy Bangui")</f>
        <v>U.S. Embassy Bangui</v>
      </c>
      <c r="D241" s="59" t="str">
        <f>IFERROR(__xludf.DUMMYFUNCTION("""COMPUTED_VALUE"""),"X")</f>
        <v>X</v>
      </c>
      <c r="E241" s="60" t="str">
        <f>IFERROR(__xludf.DUMMYFUNCTION("""COMPUTED_VALUE"""),"https://x.com/EmbassyBangui")</f>
        <v>https://x.com/EmbassyBangui</v>
      </c>
    </row>
    <row r="242">
      <c r="A242" s="59" t="str">
        <f>IFERROR(__xludf.DUMMYFUNCTION("""COMPUTED_VALUE"""),"AF")</f>
        <v>AF</v>
      </c>
      <c r="B242" s="59" t="str">
        <f>IFERROR(__xludf.DUMMYFUNCTION("""COMPUTED_VALUE"""),"Chad")</f>
        <v>Chad</v>
      </c>
      <c r="C242" s="59" t="str">
        <f>IFERROR(__xludf.DUMMYFUNCTION("""COMPUTED_VALUE"""),"U.S. Embassy N'djamena")</f>
        <v>U.S. Embassy N'djamena</v>
      </c>
      <c r="D242" s="59" t="str">
        <f>IFERROR(__xludf.DUMMYFUNCTION("""COMPUTED_VALUE"""),"Facebook")</f>
        <v>Facebook</v>
      </c>
      <c r="E242" s="60" t="str">
        <f>IFERROR(__xludf.DUMMYFUNCTION("""COMPUTED_VALUE"""),"https://www.facebook.com/ndjamena.usembassy/")</f>
        <v>https://www.facebook.com/ndjamena.usembassy/</v>
      </c>
    </row>
    <row r="243">
      <c r="A243" s="59" t="str">
        <f>IFERROR(__xludf.DUMMYFUNCTION("""COMPUTED_VALUE"""),"AF")</f>
        <v>AF</v>
      </c>
      <c r="B243" s="59" t="str">
        <f>IFERROR(__xludf.DUMMYFUNCTION("""COMPUTED_VALUE"""),"Chad")</f>
        <v>Chad</v>
      </c>
      <c r="C243" s="59" t="str">
        <f>IFERROR(__xludf.DUMMYFUNCTION("""COMPUTED_VALUE"""),"U.S. Embassy N'djamena")</f>
        <v>U.S. Embassy N'djamena</v>
      </c>
      <c r="D243" s="59" t="str">
        <f>IFERROR(__xludf.DUMMYFUNCTION("""COMPUTED_VALUE"""),"X")</f>
        <v>X</v>
      </c>
      <c r="E243" s="60" t="str">
        <f>IFERROR(__xludf.DUMMYFUNCTION("""COMPUTED_VALUE"""),"https://x.com/USEmbNDjamena")</f>
        <v>https://x.com/USEmbNDjamena</v>
      </c>
    </row>
    <row r="244">
      <c r="A244" s="59" t="str">
        <f>IFERROR(__xludf.DUMMYFUNCTION("""COMPUTED_VALUE"""),"AF")</f>
        <v>AF</v>
      </c>
      <c r="B244" s="59" t="str">
        <f>IFERROR(__xludf.DUMMYFUNCTION("""COMPUTED_VALUE"""),"Comoros")</f>
        <v>Comoros</v>
      </c>
      <c r="C244" s="59" t="str">
        <f>IFERROR(__xludf.DUMMYFUNCTION("""COMPUTED_VALUE"""),"U.S. Embassy Comoros")</f>
        <v>U.S. Embassy Comoros</v>
      </c>
      <c r="D244" s="59" t="str">
        <f>IFERROR(__xludf.DUMMYFUNCTION("""COMPUTED_VALUE"""),"Facebook")</f>
        <v>Facebook</v>
      </c>
      <c r="E244" s="60" t="str">
        <f>IFERROR(__xludf.DUMMYFUNCTION("""COMPUTED_VALUE"""),"https://www.facebook.com/USComoros/")</f>
        <v>https://www.facebook.com/USComoros/</v>
      </c>
    </row>
    <row r="245">
      <c r="A245" s="59" t="str">
        <f>IFERROR(__xludf.DUMMYFUNCTION("""COMPUTED_VALUE"""),"AF")</f>
        <v>AF</v>
      </c>
      <c r="B245" s="59" t="str">
        <f>IFERROR(__xludf.DUMMYFUNCTION("""COMPUTED_VALUE"""),"Comoros")</f>
        <v>Comoros</v>
      </c>
      <c r="C245" s="59" t="str">
        <f>IFERROR(__xludf.DUMMYFUNCTION("""COMPUTED_VALUE"""),"U.S. Embassy Comoros")</f>
        <v>U.S. Embassy Comoros</v>
      </c>
      <c r="D245" s="59" t="str">
        <f>IFERROR(__xludf.DUMMYFUNCTION("""COMPUTED_VALUE"""),"X")</f>
        <v>X</v>
      </c>
      <c r="E245" s="60" t="str">
        <f>IFERROR(__xludf.DUMMYFUNCTION("""COMPUTED_VALUE"""),"https://x.com/USComoros")</f>
        <v>https://x.com/USComoros</v>
      </c>
    </row>
    <row r="246">
      <c r="A246" s="59" t="str">
        <f>IFERROR(__xludf.DUMMYFUNCTION("""COMPUTED_VALUE"""),"AF")</f>
        <v>AF</v>
      </c>
      <c r="B246" s="59" t="str">
        <f>IFERROR(__xludf.DUMMYFUNCTION("""COMPUTED_VALUE"""),"Côte d'Ivoire")</f>
        <v>Côte d'Ivoire</v>
      </c>
      <c r="C246" s="59" t="str">
        <f>IFERROR(__xludf.DUMMYFUNCTION("""COMPUTED_VALUE"""),"U.S. Embassy Abidjan")</f>
        <v>U.S. Embassy Abidjan</v>
      </c>
      <c r="D246" s="59" t="str">
        <f>IFERROR(__xludf.DUMMYFUNCTION("""COMPUTED_VALUE"""),"Facebook")</f>
        <v>Facebook</v>
      </c>
      <c r="E246" s="60" t="str">
        <f>IFERROR(__xludf.DUMMYFUNCTION("""COMPUTED_VALUE"""),"https://www.facebook.com/USAbidjan/")</f>
        <v>https://www.facebook.com/USAbidjan/</v>
      </c>
    </row>
    <row r="247">
      <c r="A247" s="59" t="str">
        <f>IFERROR(__xludf.DUMMYFUNCTION("""COMPUTED_VALUE"""),"AF")</f>
        <v>AF</v>
      </c>
      <c r="B247" s="59" t="str">
        <f>IFERROR(__xludf.DUMMYFUNCTION("""COMPUTED_VALUE"""),"Côte d'Ivoire")</f>
        <v>Côte d'Ivoire</v>
      </c>
      <c r="C247" s="59" t="str">
        <f>IFERROR(__xludf.DUMMYFUNCTION("""COMPUTED_VALUE"""),"U.S. Embassy Abidjan")</f>
        <v>U.S. Embassy Abidjan</v>
      </c>
      <c r="D247" s="59" t="str">
        <f>IFERROR(__xludf.DUMMYFUNCTION("""COMPUTED_VALUE"""),"Instagram")</f>
        <v>Instagram</v>
      </c>
      <c r="E247" s="60" t="str">
        <f>IFERROR(__xludf.DUMMYFUNCTION("""COMPUTED_VALUE"""),"https://www.instagram.com/USEmbAbidjan/")</f>
        <v>https://www.instagram.com/USEmbAbidjan/</v>
      </c>
    </row>
    <row r="248">
      <c r="A248" s="59" t="str">
        <f>IFERROR(__xludf.DUMMYFUNCTION("""COMPUTED_VALUE"""),"AF")</f>
        <v>AF</v>
      </c>
      <c r="B248" s="59" t="str">
        <f>IFERROR(__xludf.DUMMYFUNCTION("""COMPUTED_VALUE"""),"Côte d'Ivoire")</f>
        <v>Côte d'Ivoire</v>
      </c>
      <c r="C248" s="59" t="str">
        <f>IFERROR(__xludf.DUMMYFUNCTION("""COMPUTED_VALUE"""),"U.S. Embassy Abidjan")</f>
        <v>U.S. Embassy Abidjan</v>
      </c>
      <c r="D248" s="59" t="str">
        <f>IFERROR(__xludf.DUMMYFUNCTION("""COMPUTED_VALUE"""),"X")</f>
        <v>X</v>
      </c>
      <c r="E248" s="60" t="str">
        <f>IFERROR(__xludf.DUMMYFUNCTION("""COMPUTED_VALUE"""),"https://x.com/USEmbAbidjan")</f>
        <v>https://x.com/USEmbAbidjan</v>
      </c>
    </row>
    <row r="249">
      <c r="A249" s="59" t="str">
        <f>IFERROR(__xludf.DUMMYFUNCTION("""COMPUTED_VALUE"""),"AF")</f>
        <v>AF</v>
      </c>
      <c r="B249" s="59" t="str">
        <f>IFERROR(__xludf.DUMMYFUNCTION("""COMPUTED_VALUE"""),"Côte d'Ivoire")</f>
        <v>Côte d'Ivoire</v>
      </c>
      <c r="C249" s="59" t="str">
        <f>IFERROR(__xludf.DUMMYFUNCTION("""COMPUTED_VALUE"""),"U.S. Embassy Abidjan")</f>
        <v>U.S. Embassy Abidjan</v>
      </c>
      <c r="D249" s="59" t="str">
        <f>IFERROR(__xludf.DUMMYFUNCTION("""COMPUTED_VALUE"""),"Flickr")</f>
        <v>Flickr</v>
      </c>
      <c r="E249" s="60" t="str">
        <f>IFERROR(__xludf.DUMMYFUNCTION("""COMPUTED_VALUE"""),"https://www.flickr.com/photos/us_embassy_abj/")</f>
        <v>https://www.flickr.com/photos/us_embassy_abj/</v>
      </c>
    </row>
    <row r="250">
      <c r="A250" s="59" t="str">
        <f>IFERROR(__xludf.DUMMYFUNCTION("""COMPUTED_VALUE"""),"AF")</f>
        <v>AF</v>
      </c>
      <c r="B250" s="59" t="str">
        <f>IFERROR(__xludf.DUMMYFUNCTION("""COMPUTED_VALUE"""),"Côte d'Ivoire")</f>
        <v>Côte d'Ivoire</v>
      </c>
      <c r="C250" s="59" t="str">
        <f>IFERROR(__xludf.DUMMYFUNCTION("""COMPUTED_VALUE"""),"U.S. Embassy Abidjan")</f>
        <v>U.S. Embassy Abidjan</v>
      </c>
      <c r="D250" s="59" t="str">
        <f>IFERROR(__xludf.DUMMYFUNCTION("""COMPUTED_VALUE"""),"YouTube")</f>
        <v>YouTube</v>
      </c>
      <c r="E250" s="60" t="str">
        <f>IFERROR(__xludf.DUMMYFUNCTION("""COMPUTED_VALUE"""),"https://www.youtube.com/@u.s.embassyabidjan")</f>
        <v>https://www.youtube.com/@u.s.embassyabidjan</v>
      </c>
    </row>
    <row r="251">
      <c r="A251" s="59" t="str">
        <f>IFERROR(__xludf.DUMMYFUNCTION("""COMPUTED_VALUE"""),"AF")</f>
        <v>AF</v>
      </c>
      <c r="B251" s="59" t="str">
        <f>IFERROR(__xludf.DUMMYFUNCTION("""COMPUTED_VALUE"""),"Democratic Republic of the Congo")</f>
        <v>Democratic Republic of the Congo</v>
      </c>
      <c r="C251" s="59" t="str">
        <f>IFERROR(__xludf.DUMMYFUNCTION("""COMPUTED_VALUE"""),"U.S. Embassy Kinshasa")</f>
        <v>U.S. Embassy Kinshasa</v>
      </c>
      <c r="D251" s="59" t="str">
        <f>IFERROR(__xludf.DUMMYFUNCTION("""COMPUTED_VALUE"""),"Facebook")</f>
        <v>Facebook</v>
      </c>
      <c r="E251" s="60" t="str">
        <f>IFERROR(__xludf.DUMMYFUNCTION("""COMPUTED_VALUE"""),"https://www.facebook.com/ambassadeusakinshasa")</f>
        <v>https://www.facebook.com/ambassadeusakinshasa</v>
      </c>
    </row>
    <row r="252">
      <c r="A252" s="59" t="str">
        <f>IFERROR(__xludf.DUMMYFUNCTION("""COMPUTED_VALUE"""),"AF")</f>
        <v>AF</v>
      </c>
      <c r="B252" s="59" t="str">
        <f>IFERROR(__xludf.DUMMYFUNCTION("""COMPUTED_VALUE"""),"Democratic Republic of the Congo")</f>
        <v>Democratic Republic of the Congo</v>
      </c>
      <c r="C252" s="59" t="str">
        <f>IFERROR(__xludf.DUMMYFUNCTION("""COMPUTED_VALUE"""),"U.S. Ambassador to the DRC")</f>
        <v>U.S. Ambassador to the DRC</v>
      </c>
      <c r="D252" s="59" t="str">
        <f>IFERROR(__xludf.DUMMYFUNCTION("""COMPUTED_VALUE"""),"X")</f>
        <v>X</v>
      </c>
      <c r="E252" s="60" t="str">
        <f>IFERROR(__xludf.DUMMYFUNCTION("""COMPUTED_VALUE"""),"https://x.com/USAmbDRC")</f>
        <v>https://x.com/USAmbDRC</v>
      </c>
    </row>
    <row r="253">
      <c r="A253" s="59" t="str">
        <f>IFERROR(__xludf.DUMMYFUNCTION("""COMPUTED_VALUE"""),"AF")</f>
        <v>AF</v>
      </c>
      <c r="B253" s="59" t="str">
        <f>IFERROR(__xludf.DUMMYFUNCTION("""COMPUTED_VALUE"""),"Democratic Republic of the Congo")</f>
        <v>Democratic Republic of the Congo</v>
      </c>
      <c r="C253" s="59" t="str">
        <f>IFERROR(__xludf.DUMMYFUNCTION("""COMPUTED_VALUE"""),"U.S. Embassy Kinshasa")</f>
        <v>U.S. Embassy Kinshasa</v>
      </c>
      <c r="D253" s="59" t="str">
        <f>IFERROR(__xludf.DUMMYFUNCTION("""COMPUTED_VALUE"""),"X")</f>
        <v>X</v>
      </c>
      <c r="E253" s="60" t="str">
        <f>IFERROR(__xludf.DUMMYFUNCTION("""COMPUTED_VALUE"""),"https://x.com/USEmbKinshasa")</f>
        <v>https://x.com/USEmbKinshasa</v>
      </c>
    </row>
    <row r="254">
      <c r="A254" s="59" t="str">
        <f>IFERROR(__xludf.DUMMYFUNCTION("""COMPUTED_VALUE"""),"AF")</f>
        <v>AF</v>
      </c>
      <c r="B254" s="59" t="str">
        <f>IFERROR(__xludf.DUMMYFUNCTION("""COMPUTED_VALUE"""),"Democratic Republic of the Congo")</f>
        <v>Democratic Republic of the Congo</v>
      </c>
      <c r="C254" s="59" t="str">
        <f>IFERROR(__xludf.DUMMYFUNCTION("""COMPUTED_VALUE"""),"U.S. Embassy Kinshasa")</f>
        <v>U.S. Embassy Kinshasa</v>
      </c>
      <c r="D254" s="59" t="str">
        <f>IFERROR(__xludf.DUMMYFUNCTION("""COMPUTED_VALUE"""),"YouTube")</f>
        <v>YouTube</v>
      </c>
      <c r="E254" s="60" t="str">
        <f>IFERROR(__xludf.DUMMYFUNCTION("""COMPUTED_VALUE"""),"https://www.youtube.com/@u.s.embassykinshasa619")</f>
        <v>https://www.youtube.com/@u.s.embassykinshasa619</v>
      </c>
    </row>
    <row r="255">
      <c r="A255" s="59" t="str">
        <f>IFERROR(__xludf.DUMMYFUNCTION("""COMPUTED_VALUE"""),"AF")</f>
        <v>AF</v>
      </c>
      <c r="B255" s="59" t="str">
        <f>IFERROR(__xludf.DUMMYFUNCTION("""COMPUTED_VALUE"""),"Democratic Republic of the Congo")</f>
        <v>Democratic Republic of the Congo</v>
      </c>
      <c r="C255" s="59" t="str">
        <f>IFERROR(__xludf.DUMMYFUNCTION("""COMPUTED_VALUE"""),"U.S. Embassy Kinshasa")</f>
        <v>U.S. Embassy Kinshasa</v>
      </c>
      <c r="D255" s="59" t="str">
        <f>IFERROR(__xludf.DUMMYFUNCTION("""COMPUTED_VALUE"""),"Flickr")</f>
        <v>Flickr</v>
      </c>
      <c r="E255" s="60" t="str">
        <f>IFERROR(__xludf.DUMMYFUNCTION("""COMPUTED_VALUE"""),"https://www.flickr.com/photos/124109311@N07")</f>
        <v>https://www.flickr.com/photos/124109311@N07</v>
      </c>
    </row>
    <row r="256">
      <c r="A256" s="59" t="str">
        <f>IFERROR(__xludf.DUMMYFUNCTION("""COMPUTED_VALUE"""),"AF")</f>
        <v>AF</v>
      </c>
      <c r="B256" s="59" t="str">
        <f>IFERROR(__xludf.DUMMYFUNCTION("""COMPUTED_VALUE"""),"Democratic Republic of the Congo")</f>
        <v>Democratic Republic of the Congo</v>
      </c>
      <c r="C256" s="59" t="str">
        <f>IFERROR(__xludf.DUMMYFUNCTION("""COMPUTED_VALUE"""),"U.S. Embassy Kinshasa")</f>
        <v>U.S. Embassy Kinshasa</v>
      </c>
      <c r="D256" s="59" t="str">
        <f>IFERROR(__xludf.DUMMYFUNCTION("""COMPUTED_VALUE"""),"WhatsApp")</f>
        <v>WhatsApp</v>
      </c>
      <c r="E256" s="60" t="str">
        <f>IFERROR(__xludf.DUMMYFUNCTION("""COMPUTED_VALUE"""),"https://whatsapp.com/channel/0029Vao93mQ1nozAEcsApT0Q")</f>
        <v>https://whatsapp.com/channel/0029Vao93mQ1nozAEcsApT0Q</v>
      </c>
    </row>
    <row r="257">
      <c r="A257" s="59" t="str">
        <f>IFERROR(__xludf.DUMMYFUNCTION("""COMPUTED_VALUE"""),"AF")</f>
        <v>AF</v>
      </c>
      <c r="B257" s="59" t="str">
        <f>IFERROR(__xludf.DUMMYFUNCTION("""COMPUTED_VALUE"""),"Djibouti")</f>
        <v>Djibouti</v>
      </c>
      <c r="C257" s="59" t="str">
        <f>IFERROR(__xludf.DUMMYFUNCTION("""COMPUTED_VALUE"""),"U.S. Embassy Djibouti")</f>
        <v>U.S. Embassy Djibouti</v>
      </c>
      <c r="D257" s="59" t="str">
        <f>IFERROR(__xludf.DUMMYFUNCTION("""COMPUTED_VALUE"""),"Facebook")</f>
        <v>Facebook</v>
      </c>
      <c r="E257" s="60" t="str">
        <f>IFERROR(__xludf.DUMMYFUNCTION("""COMPUTED_VALUE"""),"https://www.facebook.com/usembassy.djibouti/")</f>
        <v>https://www.facebook.com/usembassy.djibouti/</v>
      </c>
    </row>
    <row r="258">
      <c r="A258" s="59" t="str">
        <f>IFERROR(__xludf.DUMMYFUNCTION("""COMPUTED_VALUE"""),"AF")</f>
        <v>AF</v>
      </c>
      <c r="B258" s="59" t="str">
        <f>IFERROR(__xludf.DUMMYFUNCTION("""COMPUTED_VALUE"""),"Djibouti")</f>
        <v>Djibouti</v>
      </c>
      <c r="C258" s="59" t="str">
        <f>IFERROR(__xludf.DUMMYFUNCTION("""COMPUTED_VALUE"""),"U.S. Embassy Djibouti")</f>
        <v>U.S. Embassy Djibouti</v>
      </c>
      <c r="D258" s="59" t="str">
        <f>IFERROR(__xludf.DUMMYFUNCTION("""COMPUTED_VALUE"""),"X")</f>
        <v>X</v>
      </c>
      <c r="E258" s="60" t="str">
        <f>IFERROR(__xludf.DUMMYFUNCTION("""COMPUTED_VALUE"""),"https://x.com/US_Emb_Djibouti")</f>
        <v>https://x.com/US_Emb_Djibouti</v>
      </c>
    </row>
    <row r="259">
      <c r="A259" s="59" t="str">
        <f>IFERROR(__xludf.DUMMYFUNCTION("""COMPUTED_VALUE"""),"AF")</f>
        <v>AF</v>
      </c>
      <c r="B259" s="59" t="str">
        <f>IFERROR(__xludf.DUMMYFUNCTION("""COMPUTED_VALUE"""),"Djibouti")</f>
        <v>Djibouti</v>
      </c>
      <c r="C259" s="59" t="str">
        <f>IFERROR(__xludf.DUMMYFUNCTION("""COMPUTED_VALUE"""),"U.S. Embassy Djibouti")</f>
        <v>U.S. Embassy Djibouti</v>
      </c>
      <c r="D259" s="59" t="str">
        <f>IFERROR(__xludf.DUMMYFUNCTION("""COMPUTED_VALUE"""),"YouTube")</f>
        <v>YouTube</v>
      </c>
      <c r="E259" s="60" t="str">
        <f>IFERROR(__xludf.DUMMYFUNCTION("""COMPUTED_VALUE"""),"https://www.youtube.com/@USEmbassyDjibouti")</f>
        <v>https://www.youtube.com/@USEmbassyDjibouti</v>
      </c>
    </row>
    <row r="260">
      <c r="A260" s="59" t="str">
        <f>IFERROR(__xludf.DUMMYFUNCTION("""COMPUTED_VALUE"""),"AF")</f>
        <v>AF</v>
      </c>
      <c r="B260" s="59" t="str">
        <f>IFERROR(__xludf.DUMMYFUNCTION("""COMPUTED_VALUE"""),"Equatorial Guinea")</f>
        <v>Equatorial Guinea</v>
      </c>
      <c r="C260" s="59" t="str">
        <f>IFERROR(__xludf.DUMMYFUNCTION("""COMPUTED_VALUE"""),"U.S. Embassy Malabo")</f>
        <v>U.S. Embassy Malabo</v>
      </c>
      <c r="D260" s="59" t="str">
        <f>IFERROR(__xludf.DUMMYFUNCTION("""COMPUTED_VALUE"""),"Facebook")</f>
        <v>Facebook</v>
      </c>
      <c r="E260" s="60" t="str">
        <f>IFERROR(__xludf.DUMMYFUNCTION("""COMPUTED_VALUE"""),"https://www.facebook.com/malabo.usembassy")</f>
        <v>https://www.facebook.com/malabo.usembassy</v>
      </c>
    </row>
    <row r="261">
      <c r="A261" s="59" t="str">
        <f>IFERROR(__xludf.DUMMYFUNCTION("""COMPUTED_VALUE"""),"AF")</f>
        <v>AF</v>
      </c>
      <c r="B261" s="59" t="str">
        <f>IFERROR(__xludf.DUMMYFUNCTION("""COMPUTED_VALUE"""),"Equatorial Guinea")</f>
        <v>Equatorial Guinea</v>
      </c>
      <c r="C261" s="59" t="str">
        <f>IFERROR(__xludf.DUMMYFUNCTION("""COMPUTED_VALUE"""),"U.S. Embassy Malabo")</f>
        <v>U.S. Embassy Malabo</v>
      </c>
      <c r="D261" s="59" t="str">
        <f>IFERROR(__xludf.DUMMYFUNCTION("""COMPUTED_VALUE"""),"Instagram")</f>
        <v>Instagram</v>
      </c>
      <c r="E261" s="60" t="str">
        <f>IFERROR(__xludf.DUMMYFUNCTION("""COMPUTED_VALUE"""),"https://www.instagram.com/usembassymalabo/")</f>
        <v>https://www.instagram.com/usembassymalabo/</v>
      </c>
    </row>
    <row r="262">
      <c r="A262" s="59" t="str">
        <f>IFERROR(__xludf.DUMMYFUNCTION("""COMPUTED_VALUE"""),"AF")</f>
        <v>AF</v>
      </c>
      <c r="B262" s="59" t="str">
        <f>IFERROR(__xludf.DUMMYFUNCTION("""COMPUTED_VALUE"""),"Equatorial Guinea")</f>
        <v>Equatorial Guinea</v>
      </c>
      <c r="C262" s="59" t="str">
        <f>IFERROR(__xludf.DUMMYFUNCTION("""COMPUTED_VALUE"""),"U.S. Embassy Malabo")</f>
        <v>U.S. Embassy Malabo</v>
      </c>
      <c r="D262" s="59" t="str">
        <f>IFERROR(__xludf.DUMMYFUNCTION("""COMPUTED_VALUE"""),"X")</f>
        <v>X</v>
      </c>
      <c r="E262" s="60" t="str">
        <f>IFERROR(__xludf.DUMMYFUNCTION("""COMPUTED_VALUE"""),"https://x.com/USEmbassyEG")</f>
        <v>https://x.com/USEmbassyEG</v>
      </c>
    </row>
    <row r="263">
      <c r="A263" s="59" t="str">
        <f>IFERROR(__xludf.DUMMYFUNCTION("""COMPUTED_VALUE"""),"AF")</f>
        <v>AF</v>
      </c>
      <c r="B263" s="59" t="str">
        <f>IFERROR(__xludf.DUMMYFUNCTION("""COMPUTED_VALUE"""),"Eritrea")</f>
        <v>Eritrea</v>
      </c>
      <c r="C263" s="59" t="str">
        <f>IFERROR(__xludf.DUMMYFUNCTION("""COMPUTED_VALUE"""),"U.S. Embassy Asmara")</f>
        <v>U.S. Embassy Asmara</v>
      </c>
      <c r="D263" s="59" t="str">
        <f>IFERROR(__xludf.DUMMYFUNCTION("""COMPUTED_VALUE"""),"Facebook")</f>
        <v>Facebook</v>
      </c>
      <c r="E263" s="60" t="str">
        <f>IFERROR(__xludf.DUMMYFUNCTION("""COMPUTED_VALUE"""),"https://www.facebook.com/usembassyasmara/")</f>
        <v>https://www.facebook.com/usembassyasmara/</v>
      </c>
    </row>
    <row r="264">
      <c r="A264" s="59" t="str">
        <f>IFERROR(__xludf.DUMMYFUNCTION("""COMPUTED_VALUE"""),"AF")</f>
        <v>AF</v>
      </c>
      <c r="B264" s="59" t="str">
        <f>IFERROR(__xludf.DUMMYFUNCTION("""COMPUTED_VALUE"""),"Eswatini")</f>
        <v>Eswatini</v>
      </c>
      <c r="C264" s="59" t="str">
        <f>IFERROR(__xludf.DUMMYFUNCTION("""COMPUTED_VALUE"""),"U.S. Embassy Mbabane")</f>
        <v>U.S. Embassy Mbabane</v>
      </c>
      <c r="D264" s="59" t="str">
        <f>IFERROR(__xludf.DUMMYFUNCTION("""COMPUTED_VALUE"""),"Facebook")</f>
        <v>Facebook</v>
      </c>
      <c r="E264" s="60" t="str">
        <f>IFERROR(__xludf.DUMMYFUNCTION("""COMPUTED_VALUE"""),"https://www.facebook.com/usembassy.eswatini/")</f>
        <v>https://www.facebook.com/usembassy.eswatini/</v>
      </c>
    </row>
    <row r="265">
      <c r="A265" s="59" t="str">
        <f>IFERROR(__xludf.DUMMYFUNCTION("""COMPUTED_VALUE"""),"AF")</f>
        <v>AF</v>
      </c>
      <c r="B265" s="59" t="str">
        <f>IFERROR(__xludf.DUMMYFUNCTION("""COMPUTED_VALUE"""),"Eswatini")</f>
        <v>Eswatini</v>
      </c>
      <c r="C265" s="59" t="str">
        <f>IFERROR(__xludf.DUMMYFUNCTION("""COMPUTED_VALUE"""),"U.S. Embassy Mbabane")</f>
        <v>U.S. Embassy Mbabane</v>
      </c>
      <c r="D265" s="59" t="str">
        <f>IFERROR(__xludf.DUMMYFUNCTION("""COMPUTED_VALUE"""),"X")</f>
        <v>X</v>
      </c>
      <c r="E265" s="60" t="str">
        <f>IFERROR(__xludf.DUMMYFUNCTION("""COMPUTED_VALUE"""),"https://x.com/USEmbEswatini")</f>
        <v>https://x.com/USEmbEswatini</v>
      </c>
    </row>
    <row r="266">
      <c r="A266" s="59" t="str">
        <f>IFERROR(__xludf.DUMMYFUNCTION("""COMPUTED_VALUE"""),"AF")</f>
        <v>AF</v>
      </c>
      <c r="B266" s="59" t="str">
        <f>IFERROR(__xludf.DUMMYFUNCTION("""COMPUTED_VALUE"""),"Ethiopia")</f>
        <v>Ethiopia</v>
      </c>
      <c r="C266" s="59" t="str">
        <f>IFERROR(__xludf.DUMMYFUNCTION("""COMPUTED_VALUE"""),"U.S. Embassy Addis Ababa")</f>
        <v>U.S. Embassy Addis Ababa</v>
      </c>
      <c r="D266" s="59" t="str">
        <f>IFERROR(__xludf.DUMMYFUNCTION("""COMPUTED_VALUE"""),"Facebook")</f>
        <v>Facebook</v>
      </c>
      <c r="E266" s="60" t="str">
        <f>IFERROR(__xludf.DUMMYFUNCTION("""COMPUTED_VALUE"""),"https://www.facebook.com/us.emb.addisababa/")</f>
        <v>https://www.facebook.com/us.emb.addisababa/</v>
      </c>
    </row>
    <row r="267">
      <c r="A267" s="59" t="str">
        <f>IFERROR(__xludf.DUMMYFUNCTION("""COMPUTED_VALUE"""),"AF")</f>
        <v>AF</v>
      </c>
      <c r="B267" s="59" t="str">
        <f>IFERROR(__xludf.DUMMYFUNCTION("""COMPUTED_VALUE"""),"Ethiopia")</f>
        <v>Ethiopia</v>
      </c>
      <c r="C267" s="59" t="str">
        <f>IFERROR(__xludf.DUMMYFUNCTION("""COMPUTED_VALUE"""),"U.S. Embassy Addis Ababa")</f>
        <v>U.S. Embassy Addis Ababa</v>
      </c>
      <c r="D267" s="59" t="str">
        <f>IFERROR(__xludf.DUMMYFUNCTION("""COMPUTED_VALUE"""),"Instagram")</f>
        <v>Instagram</v>
      </c>
      <c r="E267" s="60" t="str">
        <f>IFERROR(__xludf.DUMMYFUNCTION("""COMPUTED_VALUE"""),"https://www.instagram.com/usembassyaddisababa/")</f>
        <v>https://www.instagram.com/usembassyaddisababa/</v>
      </c>
    </row>
    <row r="268">
      <c r="A268" s="59" t="str">
        <f>IFERROR(__xludf.DUMMYFUNCTION("""COMPUTED_VALUE"""),"AF")</f>
        <v>AF</v>
      </c>
      <c r="B268" s="59" t="str">
        <f>IFERROR(__xludf.DUMMYFUNCTION("""COMPUTED_VALUE"""),"Ethiopia")</f>
        <v>Ethiopia</v>
      </c>
      <c r="C268" s="59" t="str">
        <f>IFERROR(__xludf.DUMMYFUNCTION("""COMPUTED_VALUE"""),"U.S. Embassy Addis Ababa")</f>
        <v>U.S. Embassy Addis Ababa</v>
      </c>
      <c r="D268" s="59" t="str">
        <f>IFERROR(__xludf.DUMMYFUNCTION("""COMPUTED_VALUE"""),"X")</f>
        <v>X</v>
      </c>
      <c r="E268" s="60" t="str">
        <f>IFERROR(__xludf.DUMMYFUNCTION("""COMPUTED_VALUE"""),"https://x.com/USEmbassyAddis")</f>
        <v>https://x.com/USEmbassyAddis</v>
      </c>
    </row>
    <row r="269">
      <c r="A269" s="59" t="str">
        <f>IFERROR(__xludf.DUMMYFUNCTION("""COMPUTED_VALUE"""),"AF")</f>
        <v>AF</v>
      </c>
      <c r="B269" s="59" t="str">
        <f>IFERROR(__xludf.DUMMYFUNCTION("""COMPUTED_VALUE"""),"Ethiopia")</f>
        <v>Ethiopia</v>
      </c>
      <c r="C269" s="59" t="str">
        <f>IFERROR(__xludf.DUMMYFUNCTION("""COMPUTED_VALUE"""),"U.S. Embassy Addis Ababa")</f>
        <v>U.S. Embassy Addis Ababa</v>
      </c>
      <c r="D269" s="59" t="str">
        <f>IFERROR(__xludf.DUMMYFUNCTION("""COMPUTED_VALUE"""),"YouTube")</f>
        <v>YouTube</v>
      </c>
      <c r="E269" s="60" t="str">
        <f>IFERROR(__xludf.DUMMYFUNCTION("""COMPUTED_VALUE"""),"https://youtube.com/@USEmbassyAddisAbabaEthiopia")</f>
        <v>https://youtube.com/@USEmbassyAddisAbabaEthiopia</v>
      </c>
    </row>
    <row r="270">
      <c r="A270" s="59" t="str">
        <f>IFERROR(__xludf.DUMMYFUNCTION("""COMPUTED_VALUE"""),"AF")</f>
        <v>AF</v>
      </c>
      <c r="B270" s="59" t="str">
        <f>IFERROR(__xludf.DUMMYFUNCTION("""COMPUTED_VALUE"""),"Ethiopia")</f>
        <v>Ethiopia</v>
      </c>
      <c r="C270" s="59" t="str">
        <f>IFERROR(__xludf.DUMMYFUNCTION("""COMPUTED_VALUE"""),"U.S. Embassy Addis Ababa")</f>
        <v>U.S. Embassy Addis Ababa</v>
      </c>
      <c r="D270" s="59" t="str">
        <f>IFERROR(__xludf.DUMMYFUNCTION("""COMPUTED_VALUE"""),"Flickr")</f>
        <v>Flickr</v>
      </c>
      <c r="E270" s="60" t="str">
        <f>IFERROR(__xludf.DUMMYFUNCTION("""COMPUTED_VALUE"""),"https://www.flickr.com/photos/usembassyaddisababa")</f>
        <v>https://www.flickr.com/photos/usembassyaddisababa</v>
      </c>
    </row>
    <row r="271">
      <c r="A271" s="59" t="str">
        <f>IFERROR(__xludf.DUMMYFUNCTION("""COMPUTED_VALUE"""),"AF")</f>
        <v>AF</v>
      </c>
      <c r="B271" s="59" t="str">
        <f>IFERROR(__xludf.DUMMYFUNCTION("""COMPUTED_VALUE"""),"Ethiopia")</f>
        <v>Ethiopia</v>
      </c>
      <c r="C271" s="59" t="str">
        <f>IFERROR(__xludf.DUMMYFUNCTION("""COMPUTED_VALUE"""),"U.S. Mission to the AU")</f>
        <v>U.S. Mission to the AU</v>
      </c>
      <c r="D271" s="59" t="str">
        <f>IFERROR(__xludf.DUMMYFUNCTION("""COMPUTED_VALUE"""),"Facebook")</f>
        <v>Facebook</v>
      </c>
      <c r="E271" s="60" t="str">
        <f>IFERROR(__xludf.DUMMYFUNCTION("""COMPUTED_VALUE"""),"https://www.facebook.com/USAU09")</f>
        <v>https://www.facebook.com/USAU09</v>
      </c>
    </row>
    <row r="272">
      <c r="A272" s="59" t="str">
        <f>IFERROR(__xludf.DUMMYFUNCTION("""COMPUTED_VALUE"""),"AF")</f>
        <v>AF</v>
      </c>
      <c r="B272" s="59" t="str">
        <f>IFERROR(__xludf.DUMMYFUNCTION("""COMPUTED_VALUE"""),"Ethiopia")</f>
        <v>Ethiopia</v>
      </c>
      <c r="C272" s="59" t="str">
        <f>IFERROR(__xludf.DUMMYFUNCTION("""COMPUTED_VALUE"""),"U.S. Mission to the AU")</f>
        <v>U.S. Mission to the AU</v>
      </c>
      <c r="D272" s="59" t="str">
        <f>IFERROR(__xludf.DUMMYFUNCTION("""COMPUTED_VALUE"""),"X")</f>
        <v>X</v>
      </c>
      <c r="E272" s="60" t="str">
        <f>IFERROR(__xludf.DUMMYFUNCTION("""COMPUTED_VALUE"""),"https://x.com/US_AU")</f>
        <v>https://x.com/US_AU</v>
      </c>
    </row>
    <row r="273">
      <c r="A273" s="59" t="str">
        <f>IFERROR(__xludf.DUMMYFUNCTION("""COMPUTED_VALUE"""),"AF")</f>
        <v>AF</v>
      </c>
      <c r="B273" s="59" t="str">
        <f>IFERROR(__xludf.DUMMYFUNCTION("""COMPUTED_VALUE"""),"Ethiopia")</f>
        <v>Ethiopia</v>
      </c>
      <c r="C273" s="59" t="str">
        <f>IFERROR(__xludf.DUMMYFUNCTION("""COMPUTED_VALUE"""),"U.S. Mission to the AU")</f>
        <v>U.S. Mission to the AU</v>
      </c>
      <c r="D273" s="59" t="str">
        <f>IFERROR(__xludf.DUMMYFUNCTION("""COMPUTED_VALUE"""),"Flickr")</f>
        <v>Flickr</v>
      </c>
      <c r="E273" s="60" t="str">
        <f>IFERROR(__xludf.DUMMYFUNCTION("""COMPUTED_VALUE"""),"https://www.flickr.com/photos/146009313@N06/")</f>
        <v>https://www.flickr.com/photos/146009313@N06/</v>
      </c>
    </row>
    <row r="274">
      <c r="A274" s="59" t="str">
        <f>IFERROR(__xludf.DUMMYFUNCTION("""COMPUTED_VALUE"""),"AF")</f>
        <v>AF</v>
      </c>
      <c r="B274" s="59" t="str">
        <f>IFERROR(__xludf.DUMMYFUNCTION("""COMPUTED_VALUE"""),"France")</f>
        <v>France</v>
      </c>
      <c r="C274" s="59" t="str">
        <f>IFERROR(__xludf.DUMMYFUNCTION("""COMPUTED_VALUE"""),"Africa Regional Services")</f>
        <v>Africa Regional Services</v>
      </c>
      <c r="D274" s="59" t="str">
        <f>IFERROR(__xludf.DUMMYFUNCTION("""COMPUTED_VALUE"""),"Facebook")</f>
        <v>Facebook</v>
      </c>
      <c r="E274" s="60" t="str">
        <f>IFERROR(__xludf.DUMMYFUNCTION("""COMPUTED_VALUE"""),"https://www.facebook.com/usdos.nouveauxhorizons/")</f>
        <v>https://www.facebook.com/usdos.nouveauxhorizons/</v>
      </c>
    </row>
    <row r="275">
      <c r="A275" s="59" t="str">
        <f>IFERROR(__xludf.DUMMYFUNCTION("""COMPUTED_VALUE"""),"AF")</f>
        <v>AF</v>
      </c>
      <c r="B275" s="59" t="str">
        <f>IFERROR(__xludf.DUMMYFUNCTION("""COMPUTED_VALUE"""),"France")</f>
        <v>France</v>
      </c>
      <c r="C275" s="59" t="str">
        <f>IFERROR(__xludf.DUMMYFUNCTION("""COMPUTED_VALUE"""),"Africa Regional Services")</f>
        <v>Africa Regional Services</v>
      </c>
      <c r="D275" s="59" t="str">
        <f>IFERROR(__xludf.DUMMYFUNCTION("""COMPUTED_VALUE"""),"X")</f>
        <v>X</v>
      </c>
      <c r="E275" s="60" t="str">
        <f>IFERROR(__xludf.DUMMYFUNCTION("""COMPUTED_VALUE"""),"https://x.com/StateDeptARS")</f>
        <v>https://x.com/StateDeptARS</v>
      </c>
    </row>
    <row r="276">
      <c r="A276" s="59" t="str">
        <f>IFERROR(__xludf.DUMMYFUNCTION("""COMPUTED_VALUE"""),"AF")</f>
        <v>AF</v>
      </c>
      <c r="B276" s="59" t="str">
        <f>IFERROR(__xludf.DUMMYFUNCTION("""COMPUTED_VALUE"""),"France")</f>
        <v>France</v>
      </c>
      <c r="C276" s="59" t="str">
        <f>IFERROR(__xludf.DUMMYFUNCTION("""COMPUTED_VALUE"""),"Africa Regional Services")</f>
        <v>Africa Regional Services</v>
      </c>
      <c r="D276" s="59" t="str">
        <f>IFERROR(__xludf.DUMMYFUNCTION("""COMPUTED_VALUE"""),"YouTube")</f>
        <v>YouTube</v>
      </c>
      <c r="E276" s="60" t="str">
        <f>IFERROR(__xludf.DUMMYFUNCTION("""COMPUTED_VALUE"""),"https://www.youtube.com/@ARSParis")</f>
        <v>https://www.youtube.com/@ARSParis</v>
      </c>
    </row>
    <row r="277">
      <c r="A277" s="59" t="str">
        <f>IFERROR(__xludf.DUMMYFUNCTION("""COMPUTED_VALUE"""),"AF")</f>
        <v>AF</v>
      </c>
      <c r="B277" s="59" t="str">
        <f>IFERROR(__xludf.DUMMYFUNCTION("""COMPUTED_VALUE"""),"Gabon")</f>
        <v>Gabon</v>
      </c>
      <c r="C277" s="59" t="str">
        <f>IFERROR(__xludf.DUMMYFUNCTION("""COMPUTED_VALUE"""),"U.S. Embassy Libreville")</f>
        <v>U.S. Embassy Libreville</v>
      </c>
      <c r="D277" s="59" t="str">
        <f>IFERROR(__xludf.DUMMYFUNCTION("""COMPUTED_VALUE"""),"Facebook")</f>
        <v>Facebook</v>
      </c>
      <c r="E277" s="60" t="str">
        <f>IFERROR(__xludf.DUMMYFUNCTION("""COMPUTED_VALUE"""),"https://www.facebook.com/USEmbassyLibreville")</f>
        <v>https://www.facebook.com/USEmbassyLibreville</v>
      </c>
    </row>
    <row r="278">
      <c r="A278" s="59" t="str">
        <f>IFERROR(__xludf.DUMMYFUNCTION("""COMPUTED_VALUE"""),"AF")</f>
        <v>AF</v>
      </c>
      <c r="B278" s="59" t="str">
        <f>IFERROR(__xludf.DUMMYFUNCTION("""COMPUTED_VALUE"""),"Gabon")</f>
        <v>Gabon</v>
      </c>
      <c r="C278" s="59" t="str">
        <f>IFERROR(__xludf.DUMMYFUNCTION("""COMPUTED_VALUE"""),"U.S. Embassy Libreville")</f>
        <v>U.S. Embassy Libreville</v>
      </c>
      <c r="D278" s="59" t="str">
        <f>IFERROR(__xludf.DUMMYFUNCTION("""COMPUTED_VALUE"""),"Instagram")</f>
        <v>Instagram</v>
      </c>
      <c r="E278" s="60" t="str">
        <f>IFERROR(__xludf.DUMMYFUNCTION("""COMPUTED_VALUE"""),"https://www.instagram.com/us_embassy_libreville")</f>
        <v>https://www.instagram.com/us_embassy_libreville</v>
      </c>
    </row>
    <row r="279">
      <c r="A279" s="59" t="str">
        <f>IFERROR(__xludf.DUMMYFUNCTION("""COMPUTED_VALUE"""),"AF")</f>
        <v>AF</v>
      </c>
      <c r="B279" s="59" t="str">
        <f>IFERROR(__xludf.DUMMYFUNCTION("""COMPUTED_VALUE"""),"Gabon")</f>
        <v>Gabon</v>
      </c>
      <c r="C279" s="59" t="str">
        <f>IFERROR(__xludf.DUMMYFUNCTION("""COMPUTED_VALUE"""),"U.S. Embassy Libreville")</f>
        <v>U.S. Embassy Libreville</v>
      </c>
      <c r="D279" s="59" t="str">
        <f>IFERROR(__xludf.DUMMYFUNCTION("""COMPUTED_VALUE"""),"X")</f>
        <v>X</v>
      </c>
      <c r="E279" s="60" t="str">
        <f>IFERROR(__xludf.DUMMYFUNCTION("""COMPUTED_VALUE"""),"https://x.com/usembassygabon")</f>
        <v>https://x.com/usembassygabon</v>
      </c>
    </row>
    <row r="280">
      <c r="A280" s="59" t="str">
        <f>IFERROR(__xludf.DUMMYFUNCTION("""COMPUTED_VALUE"""),"AF")</f>
        <v>AF</v>
      </c>
      <c r="B280" s="59" t="str">
        <f>IFERROR(__xludf.DUMMYFUNCTION("""COMPUTED_VALUE"""),"Gambia")</f>
        <v>Gambia</v>
      </c>
      <c r="C280" s="59" t="str">
        <f>IFERROR(__xludf.DUMMYFUNCTION("""COMPUTED_VALUE"""),"U.S. Embassy Banjul")</f>
        <v>U.S. Embassy Banjul</v>
      </c>
      <c r="D280" s="59" t="str">
        <f>IFERROR(__xludf.DUMMYFUNCTION("""COMPUTED_VALUE"""),"Facebook")</f>
        <v>Facebook</v>
      </c>
      <c r="E280" s="60" t="str">
        <f>IFERROR(__xludf.DUMMYFUNCTION("""COMPUTED_VALUE"""),"https://www.facebook.com/U.S.EmbassyBanjul/")</f>
        <v>https://www.facebook.com/U.S.EmbassyBanjul/</v>
      </c>
    </row>
    <row r="281">
      <c r="A281" s="59" t="str">
        <f>IFERROR(__xludf.DUMMYFUNCTION("""COMPUTED_VALUE"""),"AF")</f>
        <v>AF</v>
      </c>
      <c r="B281" s="59" t="str">
        <f>IFERROR(__xludf.DUMMYFUNCTION("""COMPUTED_VALUE"""),"Gambia")</f>
        <v>Gambia</v>
      </c>
      <c r="C281" s="59" t="str">
        <f>IFERROR(__xludf.DUMMYFUNCTION("""COMPUTED_VALUE"""),"U.S. Embassy Banjul")</f>
        <v>U.S. Embassy Banjul</v>
      </c>
      <c r="D281" s="59" t="str">
        <f>IFERROR(__xludf.DUMMYFUNCTION("""COMPUTED_VALUE"""),"X")</f>
        <v>X</v>
      </c>
      <c r="E281" s="60" t="str">
        <f>IFERROR(__xludf.DUMMYFUNCTION("""COMPUTED_VALUE"""),"https://x.com/USEmbassyBanjul")</f>
        <v>https://x.com/USEmbassyBanjul</v>
      </c>
    </row>
    <row r="282">
      <c r="A282" s="59" t="str">
        <f>IFERROR(__xludf.DUMMYFUNCTION("""COMPUTED_VALUE"""),"AF")</f>
        <v>AF</v>
      </c>
      <c r="B282" s="59" t="str">
        <f>IFERROR(__xludf.DUMMYFUNCTION("""COMPUTED_VALUE"""),"Ghana")</f>
        <v>Ghana</v>
      </c>
      <c r="C282" s="59" t="str">
        <f>IFERROR(__xludf.DUMMYFUNCTION("""COMPUTED_VALUE"""),"U.S. Embassy Accra")</f>
        <v>U.S. Embassy Accra</v>
      </c>
      <c r="D282" s="59" t="str">
        <f>IFERROR(__xludf.DUMMYFUNCTION("""COMPUTED_VALUE"""),"Facebook")</f>
        <v>Facebook</v>
      </c>
      <c r="E282" s="60" t="str">
        <f>IFERROR(__xludf.DUMMYFUNCTION("""COMPUTED_VALUE"""),"https://www.facebook.com/USEmbassyGhana/")</f>
        <v>https://www.facebook.com/USEmbassyGhana/</v>
      </c>
    </row>
    <row r="283">
      <c r="A283" s="59" t="str">
        <f>IFERROR(__xludf.DUMMYFUNCTION("""COMPUTED_VALUE"""),"AF")</f>
        <v>AF</v>
      </c>
      <c r="B283" s="59" t="str">
        <f>IFERROR(__xludf.DUMMYFUNCTION("""COMPUTED_VALUE"""),"Ghana")</f>
        <v>Ghana</v>
      </c>
      <c r="C283" s="59" t="str">
        <f>IFERROR(__xludf.DUMMYFUNCTION("""COMPUTED_VALUE"""),"U.S. Embassy Accra")</f>
        <v>U.S. Embassy Accra</v>
      </c>
      <c r="D283" s="59" t="str">
        <f>IFERROR(__xludf.DUMMYFUNCTION("""COMPUTED_VALUE"""),"Instagram")</f>
        <v>Instagram</v>
      </c>
      <c r="E283" s="60" t="str">
        <f>IFERROR(__xludf.DUMMYFUNCTION("""COMPUTED_VALUE"""),"https://www.instagram.com/usembassyghana")</f>
        <v>https://www.instagram.com/usembassyghana</v>
      </c>
    </row>
    <row r="284">
      <c r="A284" s="59" t="str">
        <f>IFERROR(__xludf.DUMMYFUNCTION("""COMPUTED_VALUE"""),"AF")</f>
        <v>AF</v>
      </c>
      <c r="B284" s="59" t="str">
        <f>IFERROR(__xludf.DUMMYFUNCTION("""COMPUTED_VALUE"""),"Ghana")</f>
        <v>Ghana</v>
      </c>
      <c r="C284" s="59" t="str">
        <f>IFERROR(__xludf.DUMMYFUNCTION("""COMPUTED_VALUE"""),"U.S. Embassy Accra")</f>
        <v>U.S. Embassy Accra</v>
      </c>
      <c r="D284" s="59" t="str">
        <f>IFERROR(__xludf.DUMMYFUNCTION("""COMPUTED_VALUE"""),"X")</f>
        <v>X</v>
      </c>
      <c r="E284" s="60" t="str">
        <f>IFERROR(__xludf.DUMMYFUNCTION("""COMPUTED_VALUE"""),"https://x.com/USEmbassyGhana")</f>
        <v>https://x.com/USEmbassyGhana</v>
      </c>
    </row>
    <row r="285">
      <c r="A285" s="59" t="str">
        <f>IFERROR(__xludf.DUMMYFUNCTION("""COMPUTED_VALUE"""),"AF")</f>
        <v>AF</v>
      </c>
      <c r="B285" s="59" t="str">
        <f>IFERROR(__xludf.DUMMYFUNCTION("""COMPUTED_VALUE"""),"Ghana")</f>
        <v>Ghana</v>
      </c>
      <c r="C285" s="59" t="str">
        <f>IFERROR(__xludf.DUMMYFUNCTION("""COMPUTED_VALUE"""),"U.S. Embassy Accra")</f>
        <v>U.S. Embassy Accra</v>
      </c>
      <c r="D285" s="59" t="str">
        <f>IFERROR(__xludf.DUMMYFUNCTION("""COMPUTED_VALUE"""),"YouTube")</f>
        <v>YouTube</v>
      </c>
      <c r="E285" s="60" t="str">
        <f>IFERROR(__xludf.DUMMYFUNCTION("""COMPUTED_VALUE"""),"https://www.youtube.com/@usembassyghana")</f>
        <v>https://www.youtube.com/@usembassyghana</v>
      </c>
    </row>
    <row r="286">
      <c r="A286" s="59" t="str">
        <f>IFERROR(__xludf.DUMMYFUNCTION("""COMPUTED_VALUE"""),"AF")</f>
        <v>AF</v>
      </c>
      <c r="B286" s="59" t="str">
        <f>IFERROR(__xludf.DUMMYFUNCTION("""COMPUTED_VALUE"""),"Ghana")</f>
        <v>Ghana</v>
      </c>
      <c r="C286" s="59" t="str">
        <f>IFERROR(__xludf.DUMMYFUNCTION("""COMPUTED_VALUE"""),"U.S. Embassy Accra")</f>
        <v>U.S. Embassy Accra</v>
      </c>
      <c r="D286" s="59" t="str">
        <f>IFERROR(__xludf.DUMMYFUNCTION("""COMPUTED_VALUE"""),"Flickr")</f>
        <v>Flickr</v>
      </c>
      <c r="E286" s="60" t="str">
        <f>IFERROR(__xludf.DUMMYFUNCTION("""COMPUTED_VALUE"""),"https://www.flickr.com/photos/usembghana")</f>
        <v>https://www.flickr.com/photos/usembghana</v>
      </c>
    </row>
    <row r="287">
      <c r="A287" s="59" t="str">
        <f>IFERROR(__xludf.DUMMYFUNCTION("""COMPUTED_VALUE"""),"AF")</f>
        <v>AF</v>
      </c>
      <c r="B287" s="59" t="str">
        <f>IFERROR(__xludf.DUMMYFUNCTION("""COMPUTED_VALUE"""),"Guinea")</f>
        <v>Guinea</v>
      </c>
      <c r="C287" s="59" t="str">
        <f>IFERROR(__xludf.DUMMYFUNCTION("""COMPUTED_VALUE"""),"U.S. Embassy Conakry")</f>
        <v>U.S. Embassy Conakry</v>
      </c>
      <c r="D287" s="59" t="str">
        <f>IFERROR(__xludf.DUMMYFUNCTION("""COMPUTED_VALUE"""),"Facebook")</f>
        <v>Facebook</v>
      </c>
      <c r="E287" s="60" t="str">
        <f>IFERROR(__xludf.DUMMYFUNCTION("""COMPUTED_VALUE"""),"https://www.facebook.com/usembassyconakry/")</f>
        <v>https://www.facebook.com/usembassyconakry/</v>
      </c>
    </row>
    <row r="288">
      <c r="A288" s="59" t="str">
        <f>IFERROR(__xludf.DUMMYFUNCTION("""COMPUTED_VALUE"""),"AF")</f>
        <v>AF</v>
      </c>
      <c r="B288" s="59" t="str">
        <f>IFERROR(__xludf.DUMMYFUNCTION("""COMPUTED_VALUE"""),"Guinea")</f>
        <v>Guinea</v>
      </c>
      <c r="C288" s="59" t="str">
        <f>IFERROR(__xludf.DUMMYFUNCTION("""COMPUTED_VALUE"""),"U.S. Embassy Conakry")</f>
        <v>U.S. Embassy Conakry</v>
      </c>
      <c r="D288" s="59" t="str">
        <f>IFERROR(__xludf.DUMMYFUNCTION("""COMPUTED_VALUE"""),"Instagram")</f>
        <v>Instagram</v>
      </c>
      <c r="E288" s="60" t="str">
        <f>IFERROR(__xludf.DUMMYFUNCTION("""COMPUTED_VALUE"""),"https://www.instagram.com/usembassyconakry/")</f>
        <v>https://www.instagram.com/usembassyconakry/</v>
      </c>
    </row>
    <row r="289">
      <c r="A289" s="59" t="str">
        <f>IFERROR(__xludf.DUMMYFUNCTION("""COMPUTED_VALUE"""),"AF")</f>
        <v>AF</v>
      </c>
      <c r="B289" s="59" t="str">
        <f>IFERROR(__xludf.DUMMYFUNCTION("""COMPUTED_VALUE"""),"Guinea")</f>
        <v>Guinea</v>
      </c>
      <c r="C289" s="59" t="str">
        <f>IFERROR(__xludf.DUMMYFUNCTION("""COMPUTED_VALUE"""),"U.S. Embassy Conakry")</f>
        <v>U.S. Embassy Conakry</v>
      </c>
      <c r="D289" s="59" t="str">
        <f>IFERROR(__xludf.DUMMYFUNCTION("""COMPUTED_VALUE"""),"X")</f>
        <v>X</v>
      </c>
      <c r="E289" s="60" t="str">
        <f>IFERROR(__xludf.DUMMYFUNCTION("""COMPUTED_VALUE"""),"https://x.com/EmbassyConakry")</f>
        <v>https://x.com/EmbassyConakry</v>
      </c>
    </row>
    <row r="290">
      <c r="A290" s="59" t="str">
        <f>IFERROR(__xludf.DUMMYFUNCTION("""COMPUTED_VALUE"""),"AF")</f>
        <v>AF</v>
      </c>
      <c r="B290" s="59" t="str">
        <f>IFERROR(__xludf.DUMMYFUNCTION("""COMPUTED_VALUE"""),"Guinea")</f>
        <v>Guinea</v>
      </c>
      <c r="C290" s="59" t="str">
        <f>IFERROR(__xludf.DUMMYFUNCTION("""COMPUTED_VALUE"""),"U.S. Embassy Conakry")</f>
        <v>U.S. Embassy Conakry</v>
      </c>
      <c r="D290" s="59" t="str">
        <f>IFERROR(__xludf.DUMMYFUNCTION("""COMPUTED_VALUE"""),"YouTube")</f>
        <v>YouTube</v>
      </c>
      <c r="E290" s="60" t="str">
        <f>IFERROR(__xludf.DUMMYFUNCTION("""COMPUTED_VALUE"""),"https://www.youtube.com/user/usembassyconakry")</f>
        <v>https://www.youtube.com/user/usembassyconakry</v>
      </c>
    </row>
    <row r="291">
      <c r="A291" s="59" t="str">
        <f>IFERROR(__xludf.DUMMYFUNCTION("""COMPUTED_VALUE"""),"AF")</f>
        <v>AF</v>
      </c>
      <c r="B291" s="59" t="str">
        <f>IFERROR(__xludf.DUMMYFUNCTION("""COMPUTED_VALUE"""),"Guinea-Bissau")</f>
        <v>Guinea-Bissau</v>
      </c>
      <c r="C291" s="59" t="str">
        <f>IFERROR(__xludf.DUMMYFUNCTION("""COMPUTED_VALUE"""),"U.S. Virtual Consulate Guinea-Bissau")</f>
        <v>U.S. Virtual Consulate Guinea-Bissau</v>
      </c>
      <c r="D291" s="59" t="str">
        <f>IFERROR(__xludf.DUMMYFUNCTION("""COMPUTED_VALUE"""),"Facebook")</f>
        <v>Facebook</v>
      </c>
      <c r="E291" s="60" t="str">
        <f>IFERROR(__xludf.DUMMYFUNCTION("""COMPUTED_VALUE"""),"https://www.facebook.com/usvpp.guineabissau/")</f>
        <v>https://www.facebook.com/usvpp.guineabissau/</v>
      </c>
    </row>
    <row r="292">
      <c r="A292" s="59" t="str">
        <f>IFERROR(__xludf.DUMMYFUNCTION("""COMPUTED_VALUE"""),"AF")</f>
        <v>AF</v>
      </c>
      <c r="B292" s="59" t="str">
        <f>IFERROR(__xludf.DUMMYFUNCTION("""COMPUTED_VALUE"""),"Kenya")</f>
        <v>Kenya</v>
      </c>
      <c r="C292" s="59" t="str">
        <f>IFERROR(__xludf.DUMMYFUNCTION("""COMPUTED_VALUE"""),"U.S. Ambassador to Kenya")</f>
        <v>U.S. Ambassador to Kenya</v>
      </c>
      <c r="D292" s="59" t="str">
        <f>IFERROR(__xludf.DUMMYFUNCTION("""COMPUTED_VALUE"""),"X")</f>
        <v>X</v>
      </c>
      <c r="E292" s="60" t="str">
        <f>IFERROR(__xludf.DUMMYFUNCTION("""COMPUTED_VALUE"""),"https://x.com/USAmbKenya")</f>
        <v>https://x.com/USAmbKenya</v>
      </c>
    </row>
    <row r="293">
      <c r="A293" s="59" t="str">
        <f>IFERROR(__xludf.DUMMYFUNCTION("""COMPUTED_VALUE"""),"AF")</f>
        <v>AF</v>
      </c>
      <c r="B293" s="59" t="str">
        <f>IFERROR(__xludf.DUMMYFUNCTION("""COMPUTED_VALUE"""),"Kenya")</f>
        <v>Kenya</v>
      </c>
      <c r="C293" s="59" t="str">
        <f>IFERROR(__xludf.DUMMYFUNCTION("""COMPUTED_VALUE"""),"U.S. Embassy Nairobi")</f>
        <v>U.S. Embassy Nairobi</v>
      </c>
      <c r="D293" s="59" t="str">
        <f>IFERROR(__xludf.DUMMYFUNCTION("""COMPUTED_VALUE"""),"Facebook")</f>
        <v>Facebook</v>
      </c>
      <c r="E293" s="60" t="str">
        <f>IFERROR(__xludf.DUMMYFUNCTION("""COMPUTED_VALUE"""),"https://www.facebook.com/U.S.EmbassyNairobi/")</f>
        <v>https://www.facebook.com/U.S.EmbassyNairobi/</v>
      </c>
    </row>
    <row r="294">
      <c r="A294" s="59" t="str">
        <f>IFERROR(__xludf.DUMMYFUNCTION("""COMPUTED_VALUE"""),"AF")</f>
        <v>AF</v>
      </c>
      <c r="B294" s="59" t="str">
        <f>IFERROR(__xludf.DUMMYFUNCTION("""COMPUTED_VALUE"""),"Kenya")</f>
        <v>Kenya</v>
      </c>
      <c r="C294" s="59" t="str">
        <f>IFERROR(__xludf.DUMMYFUNCTION("""COMPUTED_VALUE"""),"U.S. Embassy Nairobi")</f>
        <v>U.S. Embassy Nairobi</v>
      </c>
      <c r="D294" s="59" t="str">
        <f>IFERROR(__xludf.DUMMYFUNCTION("""COMPUTED_VALUE"""),"Instagram")</f>
        <v>Instagram</v>
      </c>
      <c r="E294" s="60" t="str">
        <f>IFERROR(__xludf.DUMMYFUNCTION("""COMPUTED_VALUE"""),"https://www.instagram.com/usembassynairobi")</f>
        <v>https://www.instagram.com/usembassynairobi</v>
      </c>
    </row>
    <row r="295">
      <c r="A295" s="59" t="str">
        <f>IFERROR(__xludf.DUMMYFUNCTION("""COMPUTED_VALUE"""),"AF")</f>
        <v>AF</v>
      </c>
      <c r="B295" s="59" t="str">
        <f>IFERROR(__xludf.DUMMYFUNCTION("""COMPUTED_VALUE"""),"Kenya")</f>
        <v>Kenya</v>
      </c>
      <c r="C295" s="59" t="str">
        <f>IFERROR(__xludf.DUMMYFUNCTION("""COMPUTED_VALUE"""),"U.S. Embassy Nairobi")</f>
        <v>U.S. Embassy Nairobi</v>
      </c>
      <c r="D295" s="59" t="str">
        <f>IFERROR(__xludf.DUMMYFUNCTION("""COMPUTED_VALUE"""),"X")</f>
        <v>X</v>
      </c>
      <c r="E295" s="60" t="str">
        <f>IFERROR(__xludf.DUMMYFUNCTION("""COMPUTED_VALUE"""),"https://x.com/USEmbassyKenya")</f>
        <v>https://x.com/USEmbassyKenya</v>
      </c>
    </row>
    <row r="296">
      <c r="A296" s="59" t="str">
        <f>IFERROR(__xludf.DUMMYFUNCTION("""COMPUTED_VALUE"""),"AF")</f>
        <v>AF</v>
      </c>
      <c r="B296" s="59" t="str">
        <f>IFERROR(__xludf.DUMMYFUNCTION("""COMPUTED_VALUE"""),"Kenya")</f>
        <v>Kenya</v>
      </c>
      <c r="C296" s="59" t="str">
        <f>IFERROR(__xludf.DUMMYFUNCTION("""COMPUTED_VALUE"""),"U.S. Embassy Nairobi")</f>
        <v>U.S. Embassy Nairobi</v>
      </c>
      <c r="D296" s="59" t="str">
        <f>IFERROR(__xludf.DUMMYFUNCTION("""COMPUTED_VALUE"""),"YouTube")</f>
        <v>YouTube</v>
      </c>
      <c r="E296" s="60" t="str">
        <f>IFERROR(__xludf.DUMMYFUNCTION("""COMPUTED_VALUE"""),"https://www.youtube.com/@THEUSEMBASSYNAIROBI")</f>
        <v>https://www.youtube.com/@THEUSEMBASSYNAIROBI</v>
      </c>
    </row>
    <row r="297">
      <c r="A297" s="59" t="str">
        <f>IFERROR(__xludf.DUMMYFUNCTION("""COMPUTED_VALUE"""),"AF")</f>
        <v>AF</v>
      </c>
      <c r="B297" s="59" t="str">
        <f>IFERROR(__xludf.DUMMYFUNCTION("""COMPUTED_VALUE"""),"Kenya")</f>
        <v>Kenya</v>
      </c>
      <c r="C297" s="59" t="str">
        <f>IFERROR(__xludf.DUMMYFUNCTION("""COMPUTED_VALUE"""),"U.S. Embassy Nairobi")</f>
        <v>U.S. Embassy Nairobi</v>
      </c>
      <c r="D297" s="59" t="str">
        <f>IFERROR(__xludf.DUMMYFUNCTION("""COMPUTED_VALUE"""),"Flickr")</f>
        <v>Flickr</v>
      </c>
      <c r="E297" s="60" t="str">
        <f>IFERROR(__xludf.DUMMYFUNCTION("""COMPUTED_VALUE"""),"https://www.flickr.com/photos/us_embassy_nairobi/")</f>
        <v>https://www.flickr.com/photos/us_embassy_nairobi/</v>
      </c>
    </row>
    <row r="298">
      <c r="A298" s="59" t="str">
        <f>IFERROR(__xludf.DUMMYFUNCTION("""COMPUTED_VALUE"""),"AF")</f>
        <v>AF</v>
      </c>
      <c r="B298" s="59" t="str">
        <f>IFERROR(__xludf.DUMMYFUNCTION("""COMPUTED_VALUE"""),"Lesotho")</f>
        <v>Lesotho</v>
      </c>
      <c r="C298" s="59" t="str">
        <f>IFERROR(__xludf.DUMMYFUNCTION("""COMPUTED_VALUE"""),"U.S. Embassy Maseru")</f>
        <v>U.S. Embassy Maseru</v>
      </c>
      <c r="D298" s="59" t="str">
        <f>IFERROR(__xludf.DUMMYFUNCTION("""COMPUTED_VALUE"""),"Facebook")</f>
        <v>Facebook</v>
      </c>
      <c r="E298" s="60" t="str">
        <f>IFERROR(__xludf.DUMMYFUNCTION("""COMPUTED_VALUE"""),"https://www.facebook.com/usdos.Lesotho/")</f>
        <v>https://www.facebook.com/usdos.Lesotho/</v>
      </c>
    </row>
    <row r="299">
      <c r="A299" s="59" t="str">
        <f>IFERROR(__xludf.DUMMYFUNCTION("""COMPUTED_VALUE"""),"AF")</f>
        <v>AF</v>
      </c>
      <c r="B299" s="59" t="str">
        <f>IFERROR(__xludf.DUMMYFUNCTION("""COMPUTED_VALUE"""),"Lesotho")</f>
        <v>Lesotho</v>
      </c>
      <c r="C299" s="59" t="str">
        <f>IFERROR(__xludf.DUMMYFUNCTION("""COMPUTED_VALUE"""),"U.S. Embassy Maseru")</f>
        <v>U.S. Embassy Maseru</v>
      </c>
      <c r="D299" s="59" t="str">
        <f>IFERROR(__xludf.DUMMYFUNCTION("""COMPUTED_VALUE"""),"X")</f>
        <v>X</v>
      </c>
      <c r="E299" s="60" t="str">
        <f>IFERROR(__xludf.DUMMYFUNCTION("""COMPUTED_VALUE"""),"https://x.com/usembassymaseru")</f>
        <v>https://x.com/usembassymaseru</v>
      </c>
    </row>
    <row r="300">
      <c r="A300" s="59" t="str">
        <f>IFERROR(__xludf.DUMMYFUNCTION("""COMPUTED_VALUE"""),"AF")</f>
        <v>AF</v>
      </c>
      <c r="B300" s="59" t="str">
        <f>IFERROR(__xludf.DUMMYFUNCTION("""COMPUTED_VALUE"""),"Liberia")</f>
        <v>Liberia</v>
      </c>
      <c r="C300" s="59" t="str">
        <f>IFERROR(__xludf.DUMMYFUNCTION("""COMPUTED_VALUE"""),"U.S. Embassy Monrovia")</f>
        <v>U.S. Embassy Monrovia</v>
      </c>
      <c r="D300" s="59" t="str">
        <f>IFERROR(__xludf.DUMMYFUNCTION("""COMPUTED_VALUE"""),"Facebook")</f>
        <v>Facebook</v>
      </c>
      <c r="E300" s="60" t="str">
        <f>IFERROR(__xludf.DUMMYFUNCTION("""COMPUTED_VALUE"""),"https://www.facebook.com/monrovia.usembassy")</f>
        <v>https://www.facebook.com/monrovia.usembassy</v>
      </c>
    </row>
    <row r="301">
      <c r="A301" s="59" t="str">
        <f>IFERROR(__xludf.DUMMYFUNCTION("""COMPUTED_VALUE"""),"AF")</f>
        <v>AF</v>
      </c>
      <c r="B301" s="59" t="str">
        <f>IFERROR(__xludf.DUMMYFUNCTION("""COMPUTED_VALUE"""),"Liberia")</f>
        <v>Liberia</v>
      </c>
      <c r="C301" s="59" t="str">
        <f>IFERROR(__xludf.DUMMYFUNCTION("""COMPUTED_VALUE"""),"U.S. Embassy Monrovia")</f>
        <v>U.S. Embassy Monrovia</v>
      </c>
      <c r="D301" s="59" t="str">
        <f>IFERROR(__xludf.DUMMYFUNCTION("""COMPUTED_VALUE"""),"X")</f>
        <v>X</v>
      </c>
      <c r="E301" s="60" t="str">
        <f>IFERROR(__xludf.DUMMYFUNCTION("""COMPUTED_VALUE"""),"https://x.com/embassymonrovia")</f>
        <v>https://x.com/embassymonrovia</v>
      </c>
    </row>
    <row r="302">
      <c r="A302" s="59" t="str">
        <f>IFERROR(__xludf.DUMMYFUNCTION("""COMPUTED_VALUE"""),"AF")</f>
        <v>AF</v>
      </c>
      <c r="B302" s="59" t="str">
        <f>IFERROR(__xludf.DUMMYFUNCTION("""COMPUTED_VALUE"""),"Liberia")</f>
        <v>Liberia</v>
      </c>
      <c r="C302" s="59" t="str">
        <f>IFERROR(__xludf.DUMMYFUNCTION("""COMPUTED_VALUE"""),"U.S. Embassy Monrovia")</f>
        <v>U.S. Embassy Monrovia</v>
      </c>
      <c r="D302" s="59" t="str">
        <f>IFERROR(__xludf.DUMMYFUNCTION("""COMPUTED_VALUE"""),"Flickr")</f>
        <v>Flickr</v>
      </c>
      <c r="E302" s="60" t="str">
        <f>IFERROR(__xludf.DUMMYFUNCTION("""COMPUTED_VALUE"""),"https://www.flickr.com/photos/usembassymonrovia/")</f>
        <v>https://www.flickr.com/photos/usembassymonrovia/</v>
      </c>
    </row>
    <row r="303">
      <c r="A303" s="59" t="str">
        <f>IFERROR(__xludf.DUMMYFUNCTION("""COMPUTED_VALUE"""),"AF")</f>
        <v>AF</v>
      </c>
      <c r="B303" s="59" t="str">
        <f>IFERROR(__xludf.DUMMYFUNCTION("""COMPUTED_VALUE"""),"Madagascar")</f>
        <v>Madagascar</v>
      </c>
      <c r="C303" s="59" t="str">
        <f>IFERROR(__xludf.DUMMYFUNCTION("""COMPUTED_VALUE"""),"U.S. Embassy Antananarivo")</f>
        <v>U.S. Embassy Antananarivo</v>
      </c>
      <c r="D303" s="59" t="str">
        <f>IFERROR(__xludf.DUMMYFUNCTION("""COMPUTED_VALUE"""),"Facebook")</f>
        <v>Facebook</v>
      </c>
      <c r="E303" s="60" t="str">
        <f>IFERROR(__xludf.DUMMYFUNCTION("""COMPUTED_VALUE"""),"https://www.facebook.com/usembassy.madagascar/")</f>
        <v>https://www.facebook.com/usembassy.madagascar/</v>
      </c>
    </row>
    <row r="304">
      <c r="A304" s="59" t="str">
        <f>IFERROR(__xludf.DUMMYFUNCTION("""COMPUTED_VALUE"""),"AF")</f>
        <v>AF</v>
      </c>
      <c r="B304" s="59" t="str">
        <f>IFERROR(__xludf.DUMMYFUNCTION("""COMPUTED_VALUE"""),"Madagascar")</f>
        <v>Madagascar</v>
      </c>
      <c r="C304" s="59" t="str">
        <f>IFERROR(__xludf.DUMMYFUNCTION("""COMPUTED_VALUE"""),"U.S. Embassy Antananarivo")</f>
        <v>U.S. Embassy Antananarivo</v>
      </c>
      <c r="D304" s="59" t="str">
        <f>IFERROR(__xludf.DUMMYFUNCTION("""COMPUTED_VALUE"""),"Instagram")</f>
        <v>Instagram</v>
      </c>
      <c r="E304" s="60" t="str">
        <f>IFERROR(__xludf.DUMMYFUNCTION("""COMPUTED_VALUE"""),"https://www.instagram.com/usembmada/")</f>
        <v>https://www.instagram.com/usembmada/</v>
      </c>
    </row>
    <row r="305">
      <c r="A305" s="59" t="str">
        <f>IFERROR(__xludf.DUMMYFUNCTION("""COMPUTED_VALUE"""),"AF")</f>
        <v>AF</v>
      </c>
      <c r="B305" s="59" t="str">
        <f>IFERROR(__xludf.DUMMYFUNCTION("""COMPUTED_VALUE"""),"Madagascar")</f>
        <v>Madagascar</v>
      </c>
      <c r="C305" s="59" t="str">
        <f>IFERROR(__xludf.DUMMYFUNCTION("""COMPUTED_VALUE"""),"U.S. Embassy Antananarivo")</f>
        <v>U.S. Embassy Antananarivo</v>
      </c>
      <c r="D305" s="59" t="str">
        <f>IFERROR(__xludf.DUMMYFUNCTION("""COMPUTED_VALUE"""),"X")</f>
        <v>X</v>
      </c>
      <c r="E305" s="60" t="str">
        <f>IFERROR(__xludf.DUMMYFUNCTION("""COMPUTED_VALUE"""),"https://x.com/USMadagascar")</f>
        <v>https://x.com/USMadagascar</v>
      </c>
    </row>
    <row r="306">
      <c r="A306" s="59" t="str">
        <f>IFERROR(__xludf.DUMMYFUNCTION("""COMPUTED_VALUE"""),"AF")</f>
        <v>AF</v>
      </c>
      <c r="B306" s="59" t="str">
        <f>IFERROR(__xludf.DUMMYFUNCTION("""COMPUTED_VALUE"""),"Madagascar")</f>
        <v>Madagascar</v>
      </c>
      <c r="C306" s="59" t="str">
        <f>IFERROR(__xludf.DUMMYFUNCTION("""COMPUTED_VALUE"""),"U.S. Embassy Antananarivo")</f>
        <v>U.S. Embassy Antananarivo</v>
      </c>
      <c r="D306" s="59" t="str">
        <f>IFERROR(__xludf.DUMMYFUNCTION("""COMPUTED_VALUE"""),"YouTube")</f>
        <v>YouTube</v>
      </c>
      <c r="E306" s="60" t="str">
        <f>IFERROR(__xludf.DUMMYFUNCTION("""COMPUTED_VALUE"""),"https://www.youtube.com/@USinMadaComoros")</f>
        <v>https://www.youtube.com/@USinMadaComoros</v>
      </c>
    </row>
    <row r="307">
      <c r="A307" s="59" t="str">
        <f>IFERROR(__xludf.DUMMYFUNCTION("""COMPUTED_VALUE"""),"AF")</f>
        <v>AF</v>
      </c>
      <c r="B307" s="59" t="str">
        <f>IFERROR(__xludf.DUMMYFUNCTION("""COMPUTED_VALUE"""),"Malawi")</f>
        <v>Malawi</v>
      </c>
      <c r="C307" s="59" t="str">
        <f>IFERROR(__xludf.DUMMYFUNCTION("""COMPUTED_VALUE"""),"U.S. Embassy Lilongwe")</f>
        <v>U.S. Embassy Lilongwe</v>
      </c>
      <c r="D307" s="59" t="str">
        <f>IFERROR(__xludf.DUMMYFUNCTION("""COMPUTED_VALUE"""),"Facebook")</f>
        <v>Facebook</v>
      </c>
      <c r="E307" s="60" t="str">
        <f>IFERROR(__xludf.DUMMYFUNCTION("""COMPUTED_VALUE"""),"https://www.facebook.com/USEmbassyLilongwe/")</f>
        <v>https://www.facebook.com/USEmbassyLilongwe/</v>
      </c>
    </row>
    <row r="308">
      <c r="A308" s="59" t="str">
        <f>IFERROR(__xludf.DUMMYFUNCTION("""COMPUTED_VALUE"""),"AF")</f>
        <v>AF</v>
      </c>
      <c r="B308" s="59" t="str">
        <f>IFERROR(__xludf.DUMMYFUNCTION("""COMPUTED_VALUE"""),"Malawi")</f>
        <v>Malawi</v>
      </c>
      <c r="C308" s="59" t="str">
        <f>IFERROR(__xludf.DUMMYFUNCTION("""COMPUTED_VALUE"""),"U.S. Embassy Lilongwe")</f>
        <v>U.S. Embassy Lilongwe</v>
      </c>
      <c r="D308" s="59" t="str">
        <f>IFERROR(__xludf.DUMMYFUNCTION("""COMPUTED_VALUE"""),"X")</f>
        <v>X</v>
      </c>
      <c r="E308" s="60" t="str">
        <f>IFERROR(__xludf.DUMMYFUNCTION("""COMPUTED_VALUE"""),"https://x.com/USEmbassyLLW")</f>
        <v>https://x.com/USEmbassyLLW</v>
      </c>
    </row>
    <row r="309">
      <c r="A309" s="59" t="str">
        <f>IFERROR(__xludf.DUMMYFUNCTION("""COMPUTED_VALUE"""),"AF")</f>
        <v>AF</v>
      </c>
      <c r="B309" s="59" t="str">
        <f>IFERROR(__xludf.DUMMYFUNCTION("""COMPUTED_VALUE"""),"Malawi")</f>
        <v>Malawi</v>
      </c>
      <c r="C309" s="59" t="str">
        <f>IFERROR(__xludf.DUMMYFUNCTION("""COMPUTED_VALUE"""),"U.S. Embassy Lilongwe")</f>
        <v>U.S. Embassy Lilongwe</v>
      </c>
      <c r="D309" s="59" t="str">
        <f>IFERROR(__xludf.DUMMYFUNCTION("""COMPUTED_VALUE"""),"YouTube")</f>
        <v>YouTube</v>
      </c>
      <c r="E309" s="60" t="str">
        <f>IFERROR(__xludf.DUMMYFUNCTION("""COMPUTED_VALUE"""),"https://www.youtube.com/@U.S.EmbassyLilongwe")</f>
        <v>https://www.youtube.com/@U.S.EmbassyLilongwe</v>
      </c>
    </row>
    <row r="310">
      <c r="A310" s="59" t="str">
        <f>IFERROR(__xludf.DUMMYFUNCTION("""COMPUTED_VALUE"""),"AF")</f>
        <v>AF</v>
      </c>
      <c r="B310" s="59" t="str">
        <f>IFERROR(__xludf.DUMMYFUNCTION("""COMPUTED_VALUE"""),"Malawi")</f>
        <v>Malawi</v>
      </c>
      <c r="C310" s="59" t="str">
        <f>IFERROR(__xludf.DUMMYFUNCTION("""COMPUTED_VALUE"""),"U.S. Embassy Lilongwe")</f>
        <v>U.S. Embassy Lilongwe</v>
      </c>
      <c r="D310" s="59" t="str">
        <f>IFERROR(__xludf.DUMMYFUNCTION("""COMPUTED_VALUE"""),"Flickr")</f>
        <v>Flickr</v>
      </c>
      <c r="E310" s="60" t="str">
        <f>IFERROR(__xludf.DUMMYFUNCTION("""COMPUTED_VALUE"""),"https://www.flickr.com/photos/usembassylilongwe")</f>
        <v>https://www.flickr.com/photos/usembassylilongwe</v>
      </c>
    </row>
    <row r="311">
      <c r="A311" s="59" t="str">
        <f>IFERROR(__xludf.DUMMYFUNCTION("""COMPUTED_VALUE"""),"AF")</f>
        <v>AF</v>
      </c>
      <c r="B311" s="59" t="str">
        <f>IFERROR(__xludf.DUMMYFUNCTION("""COMPUTED_VALUE"""),"Mali")</f>
        <v>Mali</v>
      </c>
      <c r="C311" s="59" t="str">
        <f>IFERROR(__xludf.DUMMYFUNCTION("""COMPUTED_VALUE"""),"U.S. Embassy Bamako")</f>
        <v>U.S. Embassy Bamako</v>
      </c>
      <c r="D311" s="59" t="str">
        <f>IFERROR(__xludf.DUMMYFUNCTION("""COMPUTED_VALUE"""),"Facebook")</f>
        <v>Facebook</v>
      </c>
      <c r="E311" s="60" t="str">
        <f>IFERROR(__xludf.DUMMYFUNCTION("""COMPUTED_VALUE"""),"https://www.facebook.com/USEmbassyMali")</f>
        <v>https://www.facebook.com/USEmbassyMali</v>
      </c>
    </row>
    <row r="312">
      <c r="A312" s="59" t="str">
        <f>IFERROR(__xludf.DUMMYFUNCTION("""COMPUTED_VALUE"""),"AF")</f>
        <v>AF</v>
      </c>
      <c r="B312" s="59" t="str">
        <f>IFERROR(__xludf.DUMMYFUNCTION("""COMPUTED_VALUE"""),"Mali")</f>
        <v>Mali</v>
      </c>
      <c r="C312" s="59" t="str">
        <f>IFERROR(__xludf.DUMMYFUNCTION("""COMPUTED_VALUE"""),"U.S. Embassy Bamako")</f>
        <v>U.S. Embassy Bamako</v>
      </c>
      <c r="D312" s="59" t="str">
        <f>IFERROR(__xludf.DUMMYFUNCTION("""COMPUTED_VALUE"""),"X")</f>
        <v>X</v>
      </c>
      <c r="E312" s="60" t="str">
        <f>IFERROR(__xludf.DUMMYFUNCTION("""COMPUTED_VALUE"""),"https://x.com/USEmbassyMali")</f>
        <v>https://x.com/USEmbassyMali</v>
      </c>
    </row>
    <row r="313">
      <c r="A313" s="59" t="str">
        <f>IFERROR(__xludf.DUMMYFUNCTION("""COMPUTED_VALUE"""),"AF")</f>
        <v>AF</v>
      </c>
      <c r="B313" s="59" t="str">
        <f>IFERROR(__xludf.DUMMYFUNCTION("""COMPUTED_VALUE"""),"Mali")</f>
        <v>Mali</v>
      </c>
      <c r="C313" s="59" t="str">
        <f>IFERROR(__xludf.DUMMYFUNCTION("""COMPUTED_VALUE"""),"U.S. Embassy Bamako")</f>
        <v>U.S. Embassy Bamako</v>
      </c>
      <c r="D313" s="59" t="str">
        <f>IFERROR(__xludf.DUMMYFUNCTION("""COMPUTED_VALUE"""),"YouTube")</f>
        <v>YouTube</v>
      </c>
      <c r="E313" s="60" t="str">
        <f>IFERROR(__xludf.DUMMYFUNCTION("""COMPUTED_VALUE"""),"https://www.youtube.com/c/USEmbassyMali21 ")</f>
        <v>https://www.youtube.com/c/USEmbassyMali21 </v>
      </c>
    </row>
    <row r="314">
      <c r="A314" s="59" t="str">
        <f>IFERROR(__xludf.DUMMYFUNCTION("""COMPUTED_VALUE"""),"AF")</f>
        <v>AF</v>
      </c>
      <c r="B314" s="59" t="str">
        <f>IFERROR(__xludf.DUMMYFUNCTION("""COMPUTED_VALUE"""),"Mauritania")</f>
        <v>Mauritania</v>
      </c>
      <c r="C314" s="59" t="str">
        <f>IFERROR(__xludf.DUMMYFUNCTION("""COMPUTED_VALUE"""),"U.S. Embassy Nouakchott")</f>
        <v>U.S. Embassy Nouakchott</v>
      </c>
      <c r="D314" s="59" t="str">
        <f>IFERROR(__xludf.DUMMYFUNCTION("""COMPUTED_VALUE"""),"Facebook")</f>
        <v>Facebook</v>
      </c>
      <c r="E314" s="60" t="str">
        <f>IFERROR(__xludf.DUMMYFUNCTION("""COMPUTED_VALUE"""),"https://www.facebook.com/usembnouakchott/")</f>
        <v>https://www.facebook.com/usembnouakchott/</v>
      </c>
    </row>
    <row r="315">
      <c r="A315" s="59" t="str">
        <f>IFERROR(__xludf.DUMMYFUNCTION("""COMPUTED_VALUE"""),"AF")</f>
        <v>AF</v>
      </c>
      <c r="B315" s="59" t="str">
        <f>IFERROR(__xludf.DUMMYFUNCTION("""COMPUTED_VALUE"""),"Mauritania")</f>
        <v>Mauritania</v>
      </c>
      <c r="C315" s="59" t="str">
        <f>IFERROR(__xludf.DUMMYFUNCTION("""COMPUTED_VALUE"""),"U.S. Embassy Nouakchott")</f>
        <v>U.S. Embassy Nouakchott</v>
      </c>
      <c r="D315" s="59" t="str">
        <f>IFERROR(__xludf.DUMMYFUNCTION("""COMPUTED_VALUE"""),"X")</f>
        <v>X</v>
      </c>
      <c r="E315" s="60" t="str">
        <f>IFERROR(__xludf.DUMMYFUNCTION("""COMPUTED_VALUE"""),"https://x.com/usembnouakchott")</f>
        <v>https://x.com/usembnouakchott</v>
      </c>
    </row>
    <row r="316">
      <c r="A316" s="59" t="str">
        <f>IFERROR(__xludf.DUMMYFUNCTION("""COMPUTED_VALUE"""),"AF")</f>
        <v>AF</v>
      </c>
      <c r="B316" s="59" t="str">
        <f>IFERROR(__xludf.DUMMYFUNCTION("""COMPUTED_VALUE"""),"Mauritania")</f>
        <v>Mauritania</v>
      </c>
      <c r="C316" s="59" t="str">
        <f>IFERROR(__xludf.DUMMYFUNCTION("""COMPUTED_VALUE"""),"U.S. Embassy Nouakchott")</f>
        <v>U.S. Embassy Nouakchott</v>
      </c>
      <c r="D316" s="59" t="str">
        <f>IFERROR(__xludf.DUMMYFUNCTION("""COMPUTED_VALUE"""),"YouTube")</f>
        <v>YouTube</v>
      </c>
      <c r="E316" s="60" t="str">
        <f>IFERROR(__xludf.DUMMYFUNCTION("""COMPUTED_VALUE"""),"https://www.youtube.com/@usembassynouakchott")</f>
        <v>https://www.youtube.com/@usembassynouakchott</v>
      </c>
    </row>
    <row r="317">
      <c r="A317" s="59" t="str">
        <f>IFERROR(__xludf.DUMMYFUNCTION("""COMPUTED_VALUE"""),"AF")</f>
        <v>AF</v>
      </c>
      <c r="B317" s="59" t="str">
        <f>IFERROR(__xludf.DUMMYFUNCTION("""COMPUTED_VALUE"""),"Mauritius")</f>
        <v>Mauritius</v>
      </c>
      <c r="C317" s="59" t="str">
        <f>IFERROR(__xludf.DUMMYFUNCTION("""COMPUTED_VALUE"""),"U.S. Embassy Port Louis")</f>
        <v>U.S. Embassy Port Louis</v>
      </c>
      <c r="D317" s="59" t="str">
        <f>IFERROR(__xludf.DUMMYFUNCTION("""COMPUTED_VALUE"""),"Facebook")</f>
        <v>Facebook</v>
      </c>
      <c r="E317" s="60" t="str">
        <f>IFERROR(__xludf.DUMMYFUNCTION("""COMPUTED_VALUE"""),"https://www.facebook.com/usembassy.portlouis/")</f>
        <v>https://www.facebook.com/usembassy.portlouis/</v>
      </c>
    </row>
    <row r="318">
      <c r="A318" s="59" t="str">
        <f>IFERROR(__xludf.DUMMYFUNCTION("""COMPUTED_VALUE"""),"AF")</f>
        <v>AF</v>
      </c>
      <c r="B318" s="59" t="str">
        <f>IFERROR(__xludf.DUMMYFUNCTION("""COMPUTED_VALUE"""),"Mauritius")</f>
        <v>Mauritius</v>
      </c>
      <c r="C318" s="59" t="str">
        <f>IFERROR(__xludf.DUMMYFUNCTION("""COMPUTED_VALUE"""),"U.S. Embassy Port Louis")</f>
        <v>U.S. Embassy Port Louis</v>
      </c>
      <c r="D318" s="59" t="str">
        <f>IFERROR(__xludf.DUMMYFUNCTION("""COMPUTED_VALUE"""),"Instagram")</f>
        <v>Instagram</v>
      </c>
      <c r="E318" s="60" t="str">
        <f>IFERROR(__xludf.DUMMYFUNCTION("""COMPUTED_VALUE"""),"https://www.instagram.com/usembassymoris")</f>
        <v>https://www.instagram.com/usembassymoris</v>
      </c>
    </row>
    <row r="319">
      <c r="A319" s="59" t="str">
        <f>IFERROR(__xludf.DUMMYFUNCTION("""COMPUTED_VALUE"""),"AF")</f>
        <v>AF</v>
      </c>
      <c r="B319" s="59" t="str">
        <f>IFERROR(__xludf.DUMMYFUNCTION("""COMPUTED_VALUE"""),"Mauritius")</f>
        <v>Mauritius</v>
      </c>
      <c r="C319" s="59" t="str">
        <f>IFERROR(__xludf.DUMMYFUNCTION("""COMPUTED_VALUE"""),"U.S. Embassy Port Louis")</f>
        <v>U.S. Embassy Port Louis</v>
      </c>
      <c r="D319" s="59" t="str">
        <f>IFERROR(__xludf.DUMMYFUNCTION("""COMPUTED_VALUE"""),"X")</f>
        <v>X</v>
      </c>
      <c r="E319" s="60" t="str">
        <f>IFERROR(__xludf.DUMMYFUNCTION("""COMPUTED_VALUE"""),"https://x.com/USEmbassyMoris")</f>
        <v>https://x.com/USEmbassyMoris</v>
      </c>
    </row>
    <row r="320">
      <c r="A320" s="59" t="str">
        <f>IFERROR(__xludf.DUMMYFUNCTION("""COMPUTED_VALUE"""),"AF")</f>
        <v>AF</v>
      </c>
      <c r="B320" s="59" t="str">
        <f>IFERROR(__xludf.DUMMYFUNCTION("""COMPUTED_VALUE"""),"Mauritius")</f>
        <v>Mauritius</v>
      </c>
      <c r="C320" s="59" t="str">
        <f>IFERROR(__xludf.DUMMYFUNCTION("""COMPUTED_VALUE"""),"U.S. Embassy Port Louis")</f>
        <v>U.S. Embassy Port Louis</v>
      </c>
      <c r="D320" s="59" t="str">
        <f>IFERROR(__xludf.DUMMYFUNCTION("""COMPUTED_VALUE"""),"YouTube")</f>
        <v>YouTube</v>
      </c>
      <c r="E320" s="60" t="str">
        <f>IFERROR(__xludf.DUMMYFUNCTION("""COMPUTED_VALUE"""),"https://www.youtube.com/@usembassyportlouis")</f>
        <v>https://www.youtube.com/@usembassyportlouis</v>
      </c>
    </row>
    <row r="321">
      <c r="A321" s="59" t="str">
        <f>IFERROR(__xludf.DUMMYFUNCTION("""COMPUTED_VALUE"""),"AF")</f>
        <v>AF</v>
      </c>
      <c r="B321" s="59" t="str">
        <f>IFERROR(__xludf.DUMMYFUNCTION("""COMPUTED_VALUE"""),"Mozambique")</f>
        <v>Mozambique</v>
      </c>
      <c r="C321" s="59" t="str">
        <f>IFERROR(__xludf.DUMMYFUNCTION("""COMPUTED_VALUE"""),"U.S. Embassy Maputo")</f>
        <v>U.S. Embassy Maputo</v>
      </c>
      <c r="D321" s="59" t="str">
        <f>IFERROR(__xludf.DUMMYFUNCTION("""COMPUTED_VALUE"""),"Facebook")</f>
        <v>Facebook</v>
      </c>
      <c r="E321" s="60" t="str">
        <f>IFERROR(__xludf.DUMMYFUNCTION("""COMPUTED_VALUE"""),"https://www.facebook.com/U.S.EmbassyMozambique")</f>
        <v>https://www.facebook.com/U.S.EmbassyMozambique</v>
      </c>
    </row>
    <row r="322">
      <c r="A322" s="59" t="str">
        <f>IFERROR(__xludf.DUMMYFUNCTION("""COMPUTED_VALUE"""),"AF")</f>
        <v>AF</v>
      </c>
      <c r="B322" s="59" t="str">
        <f>IFERROR(__xludf.DUMMYFUNCTION("""COMPUTED_VALUE"""),"Mozambique")</f>
        <v>Mozambique</v>
      </c>
      <c r="C322" s="59" t="str">
        <f>IFERROR(__xludf.DUMMYFUNCTION("""COMPUTED_VALUE"""),"U.S. Embassy Maputo")</f>
        <v>U.S. Embassy Maputo</v>
      </c>
      <c r="D322" s="59" t="str">
        <f>IFERROR(__xludf.DUMMYFUNCTION("""COMPUTED_VALUE"""),"Instagram")</f>
        <v>Instagram</v>
      </c>
      <c r="E322" s="60" t="str">
        <f>IFERROR(__xludf.DUMMYFUNCTION("""COMPUTED_VALUE"""),"https://www.instagram.com/usembassymozambique/")</f>
        <v>https://www.instagram.com/usembassymozambique/</v>
      </c>
    </row>
    <row r="323">
      <c r="A323" s="59" t="str">
        <f>IFERROR(__xludf.DUMMYFUNCTION("""COMPUTED_VALUE"""),"AF")</f>
        <v>AF</v>
      </c>
      <c r="B323" s="59" t="str">
        <f>IFERROR(__xludf.DUMMYFUNCTION("""COMPUTED_VALUE"""),"Mozambique")</f>
        <v>Mozambique</v>
      </c>
      <c r="C323" s="59" t="str">
        <f>IFERROR(__xludf.DUMMYFUNCTION("""COMPUTED_VALUE"""),"U.S. Embassy Maputo")</f>
        <v>U.S. Embassy Maputo</v>
      </c>
      <c r="D323" s="59" t="str">
        <f>IFERROR(__xludf.DUMMYFUNCTION("""COMPUTED_VALUE"""),"X")</f>
        <v>X</v>
      </c>
      <c r="E323" s="60" t="str">
        <f>IFERROR(__xludf.DUMMYFUNCTION("""COMPUTED_VALUE"""),"https://x.com/USEmbassyMoz ")</f>
        <v>https://x.com/USEmbassyMoz </v>
      </c>
    </row>
    <row r="324">
      <c r="A324" s="59" t="str">
        <f>IFERROR(__xludf.DUMMYFUNCTION("""COMPUTED_VALUE"""),"AF")</f>
        <v>AF</v>
      </c>
      <c r="B324" s="59" t="str">
        <f>IFERROR(__xludf.DUMMYFUNCTION("""COMPUTED_VALUE"""),"Mozambique")</f>
        <v>Mozambique</v>
      </c>
      <c r="C324" s="59" t="str">
        <f>IFERROR(__xludf.DUMMYFUNCTION("""COMPUTED_VALUE"""),"U.S. Embassy Maputo")</f>
        <v>U.S. Embassy Maputo</v>
      </c>
      <c r="D324" s="59" t="str">
        <f>IFERROR(__xludf.DUMMYFUNCTION("""COMPUTED_VALUE"""),"YouTube")</f>
        <v>YouTube</v>
      </c>
      <c r="E324" s="60" t="str">
        <f>IFERROR(__xludf.DUMMYFUNCTION("""COMPUTED_VALUE"""),"https://www.youtube.com/@USEmbassyMozambique")</f>
        <v>https://www.youtube.com/@USEmbassyMozambique</v>
      </c>
    </row>
    <row r="325">
      <c r="A325" s="59" t="str">
        <f>IFERROR(__xludf.DUMMYFUNCTION("""COMPUTED_VALUE"""),"AF")</f>
        <v>AF</v>
      </c>
      <c r="B325" s="59" t="str">
        <f>IFERROR(__xludf.DUMMYFUNCTION("""COMPUTED_VALUE"""),"Mozambique")</f>
        <v>Mozambique</v>
      </c>
      <c r="C325" s="59" t="str">
        <f>IFERROR(__xludf.DUMMYFUNCTION("""COMPUTED_VALUE"""),"U.S. Embassy Maputo")</f>
        <v>U.S. Embassy Maputo</v>
      </c>
      <c r="D325" s="59" t="str">
        <f>IFERROR(__xludf.DUMMYFUNCTION("""COMPUTED_VALUE"""),"Flickr")</f>
        <v>Flickr</v>
      </c>
      <c r="E325" s="60" t="str">
        <f>IFERROR(__xludf.DUMMYFUNCTION("""COMPUTED_VALUE"""),"https://www.flickr.com/photos/usembassymaputo/sets/")</f>
        <v>https://www.flickr.com/photos/usembassymaputo/sets/</v>
      </c>
    </row>
    <row r="326">
      <c r="A326" s="59" t="str">
        <f>IFERROR(__xludf.DUMMYFUNCTION("""COMPUTED_VALUE"""),"AF")</f>
        <v>AF</v>
      </c>
      <c r="B326" s="59" t="str">
        <f>IFERROR(__xludf.DUMMYFUNCTION("""COMPUTED_VALUE"""),"Namibia")</f>
        <v>Namibia</v>
      </c>
      <c r="C326" s="59" t="str">
        <f>IFERROR(__xludf.DUMMYFUNCTION("""COMPUTED_VALUE"""),"U.S. Embassy Windhoek")</f>
        <v>U.S. Embassy Windhoek</v>
      </c>
      <c r="D326" s="59" t="str">
        <f>IFERROR(__xludf.DUMMYFUNCTION("""COMPUTED_VALUE"""),"Facebook")</f>
        <v>Facebook</v>
      </c>
      <c r="E326" s="60" t="str">
        <f>IFERROR(__xludf.DUMMYFUNCTION("""COMPUTED_VALUE"""),"https://www.facebook.com/namibia.usembassy/")</f>
        <v>https://www.facebook.com/namibia.usembassy/</v>
      </c>
    </row>
    <row r="327">
      <c r="A327" s="59" t="str">
        <f>IFERROR(__xludf.DUMMYFUNCTION("""COMPUTED_VALUE"""),"AF")</f>
        <v>AF</v>
      </c>
      <c r="B327" s="59" t="str">
        <f>IFERROR(__xludf.DUMMYFUNCTION("""COMPUTED_VALUE"""),"Namibia")</f>
        <v>Namibia</v>
      </c>
      <c r="C327" s="59" t="str">
        <f>IFERROR(__xludf.DUMMYFUNCTION("""COMPUTED_VALUE"""),"U.S. Embassy Windhoek")</f>
        <v>U.S. Embassy Windhoek</v>
      </c>
      <c r="D327" s="59" t="str">
        <f>IFERROR(__xludf.DUMMYFUNCTION("""COMPUTED_VALUE"""),"Instagram")</f>
        <v>Instagram</v>
      </c>
      <c r="E327" s="60" t="str">
        <f>IFERROR(__xludf.DUMMYFUNCTION("""COMPUTED_VALUE"""),"https://www.instagram.com/usembnamibia/")</f>
        <v>https://www.instagram.com/usembnamibia/</v>
      </c>
    </row>
    <row r="328">
      <c r="A328" s="59" t="str">
        <f>IFERROR(__xludf.DUMMYFUNCTION("""COMPUTED_VALUE"""),"AF")</f>
        <v>AF</v>
      </c>
      <c r="B328" s="59" t="str">
        <f>IFERROR(__xludf.DUMMYFUNCTION("""COMPUTED_VALUE"""),"Namibia")</f>
        <v>Namibia</v>
      </c>
      <c r="C328" s="59" t="str">
        <f>IFERROR(__xludf.DUMMYFUNCTION("""COMPUTED_VALUE"""),"U.S. Embassy Windhoek")</f>
        <v>U.S. Embassy Windhoek</v>
      </c>
      <c r="D328" s="59" t="str">
        <f>IFERROR(__xludf.DUMMYFUNCTION("""COMPUTED_VALUE"""),"X")</f>
        <v>X</v>
      </c>
      <c r="E328" s="60" t="str">
        <f>IFERROR(__xludf.DUMMYFUNCTION("""COMPUTED_VALUE"""),"https://x.com/USEmbNamibia")</f>
        <v>https://x.com/USEmbNamibia</v>
      </c>
    </row>
    <row r="329">
      <c r="A329" s="59" t="str">
        <f>IFERROR(__xludf.DUMMYFUNCTION("""COMPUTED_VALUE"""),"AF")</f>
        <v>AF</v>
      </c>
      <c r="B329" s="59" t="str">
        <f>IFERROR(__xludf.DUMMYFUNCTION("""COMPUTED_VALUE"""),"Namibia")</f>
        <v>Namibia</v>
      </c>
      <c r="C329" s="59" t="str">
        <f>IFERROR(__xludf.DUMMYFUNCTION("""COMPUTED_VALUE"""),"U.S. Embassy Windhoek")</f>
        <v>U.S. Embassy Windhoek</v>
      </c>
      <c r="D329" s="59" t="str">
        <f>IFERROR(__xludf.DUMMYFUNCTION("""COMPUTED_VALUE"""),"YouTube")</f>
        <v>YouTube</v>
      </c>
      <c r="E329" s="60" t="str">
        <f>IFERROR(__xludf.DUMMYFUNCTION("""COMPUTED_VALUE"""),"https://www.youtube.com/@usembnamibia")</f>
        <v>https://www.youtube.com/@usembnamibia</v>
      </c>
    </row>
    <row r="330">
      <c r="A330" s="59" t="str">
        <f>IFERROR(__xludf.DUMMYFUNCTION("""COMPUTED_VALUE"""),"AF")</f>
        <v>AF</v>
      </c>
      <c r="B330" s="59" t="str">
        <f>IFERROR(__xludf.DUMMYFUNCTION("""COMPUTED_VALUE"""),"Namibia")</f>
        <v>Namibia</v>
      </c>
      <c r="C330" s="59" t="str">
        <f>IFERROR(__xludf.DUMMYFUNCTION("""COMPUTED_VALUE"""),"U.S. Embassy Windhoek")</f>
        <v>U.S. Embassy Windhoek</v>
      </c>
      <c r="D330" s="59" t="str">
        <f>IFERROR(__xludf.DUMMYFUNCTION("""COMPUTED_VALUE"""),"Flickr")</f>
        <v>Flickr</v>
      </c>
      <c r="E330" s="60" t="str">
        <f>IFERROR(__xludf.DUMMYFUNCTION("""COMPUTED_VALUE"""),"https://www.flickr.com/photos/usembassynamibia")</f>
        <v>https://www.flickr.com/photos/usembassynamibia</v>
      </c>
    </row>
    <row r="331">
      <c r="A331" s="59" t="str">
        <f>IFERROR(__xludf.DUMMYFUNCTION("""COMPUTED_VALUE"""),"AF")</f>
        <v>AF</v>
      </c>
      <c r="B331" s="59" t="str">
        <f>IFERROR(__xludf.DUMMYFUNCTION("""COMPUTED_VALUE"""),"Niger")</f>
        <v>Niger</v>
      </c>
      <c r="C331" s="59" t="str">
        <f>IFERROR(__xludf.DUMMYFUNCTION("""COMPUTED_VALUE"""),"U.S. Embassy Niamey")</f>
        <v>U.S. Embassy Niamey</v>
      </c>
      <c r="D331" s="59" t="str">
        <f>IFERROR(__xludf.DUMMYFUNCTION("""COMPUTED_VALUE"""),"Facebook")</f>
        <v>Facebook</v>
      </c>
      <c r="E331" s="60" t="str">
        <f>IFERROR(__xludf.DUMMYFUNCTION("""COMPUTED_VALUE"""),"https://www.facebook.com/U.S.EmbassyNiamey/")</f>
        <v>https://www.facebook.com/U.S.EmbassyNiamey/</v>
      </c>
    </row>
    <row r="332">
      <c r="A332" s="59" t="str">
        <f>IFERROR(__xludf.DUMMYFUNCTION("""COMPUTED_VALUE"""),"AF")</f>
        <v>AF</v>
      </c>
      <c r="B332" s="59" t="str">
        <f>IFERROR(__xludf.DUMMYFUNCTION("""COMPUTED_VALUE"""),"Niger")</f>
        <v>Niger</v>
      </c>
      <c r="C332" s="59" t="str">
        <f>IFERROR(__xludf.DUMMYFUNCTION("""COMPUTED_VALUE"""),"U.S. Embassy Niamey")</f>
        <v>U.S. Embassy Niamey</v>
      </c>
      <c r="D332" s="59" t="str">
        <f>IFERROR(__xludf.DUMMYFUNCTION("""COMPUTED_VALUE"""),"Instagram")</f>
        <v>Instagram</v>
      </c>
      <c r="E332" s="60" t="str">
        <f>IFERROR(__xludf.DUMMYFUNCTION("""COMPUTED_VALUE"""),"https://www.instagram.com/usembassyniger")</f>
        <v>https://www.instagram.com/usembassyniger</v>
      </c>
    </row>
    <row r="333">
      <c r="A333" s="59" t="str">
        <f>IFERROR(__xludf.DUMMYFUNCTION("""COMPUTED_VALUE"""),"AF")</f>
        <v>AF</v>
      </c>
      <c r="B333" s="59" t="str">
        <f>IFERROR(__xludf.DUMMYFUNCTION("""COMPUTED_VALUE"""),"Niger")</f>
        <v>Niger</v>
      </c>
      <c r="C333" s="59" t="str">
        <f>IFERROR(__xludf.DUMMYFUNCTION("""COMPUTED_VALUE"""),"U.S. Embassy Niamey")</f>
        <v>U.S. Embassy Niamey</v>
      </c>
      <c r="D333" s="59" t="str">
        <f>IFERROR(__xludf.DUMMYFUNCTION("""COMPUTED_VALUE"""),"X")</f>
        <v>X</v>
      </c>
      <c r="E333" s="60" t="str">
        <f>IFERROR(__xludf.DUMMYFUNCTION("""COMPUTED_VALUE"""),"https://x.com/USEmbassyNiamey")</f>
        <v>https://x.com/USEmbassyNiamey</v>
      </c>
    </row>
    <row r="334">
      <c r="A334" s="59" t="str">
        <f>IFERROR(__xludf.DUMMYFUNCTION("""COMPUTED_VALUE"""),"AF")</f>
        <v>AF</v>
      </c>
      <c r="B334" s="59" t="str">
        <f>IFERROR(__xludf.DUMMYFUNCTION("""COMPUTED_VALUE"""),"Niger")</f>
        <v>Niger</v>
      </c>
      <c r="C334" s="59" t="str">
        <f>IFERROR(__xludf.DUMMYFUNCTION("""COMPUTED_VALUE"""),"U.S. Embassy Niamey")</f>
        <v>U.S. Embassy Niamey</v>
      </c>
      <c r="D334" s="59" t="str">
        <f>IFERROR(__xludf.DUMMYFUNCTION("""COMPUTED_VALUE"""),"YouTube")</f>
        <v>YouTube</v>
      </c>
      <c r="E334" s="60" t="str">
        <f>IFERROR(__xludf.DUMMYFUNCTION("""COMPUTED_VALUE"""),"https://www.youtube.com/@USEmbassyNiamey")</f>
        <v>https://www.youtube.com/@USEmbassyNiamey</v>
      </c>
    </row>
    <row r="335">
      <c r="A335" s="59" t="str">
        <f>IFERROR(__xludf.DUMMYFUNCTION("""COMPUTED_VALUE"""),"AF")</f>
        <v>AF</v>
      </c>
      <c r="B335" s="59" t="str">
        <f>IFERROR(__xludf.DUMMYFUNCTION("""COMPUTED_VALUE"""),"Nigeria")</f>
        <v>Nigeria</v>
      </c>
      <c r="C335" s="59" t="str">
        <f>IFERROR(__xludf.DUMMYFUNCTION("""COMPUTED_VALUE"""),"U.S. Embassy Abuja")</f>
        <v>U.S. Embassy Abuja</v>
      </c>
      <c r="D335" s="59" t="str">
        <f>IFERROR(__xludf.DUMMYFUNCTION("""COMPUTED_VALUE"""),"Facebook")</f>
        <v>Facebook</v>
      </c>
      <c r="E335" s="60" t="str">
        <f>IFERROR(__xludf.DUMMYFUNCTION("""COMPUTED_VALUE"""),"https://www.facebook.com/usinnigeria/")</f>
        <v>https://www.facebook.com/usinnigeria/</v>
      </c>
    </row>
    <row r="336">
      <c r="A336" s="59" t="str">
        <f>IFERROR(__xludf.DUMMYFUNCTION("""COMPUTED_VALUE"""),"AF")</f>
        <v>AF</v>
      </c>
      <c r="B336" s="59" t="str">
        <f>IFERROR(__xludf.DUMMYFUNCTION("""COMPUTED_VALUE"""),"Nigeria")</f>
        <v>Nigeria</v>
      </c>
      <c r="C336" s="59" t="str">
        <f>IFERROR(__xludf.DUMMYFUNCTION("""COMPUTED_VALUE"""),"U.S. Embassy Abuja")</f>
        <v>U.S. Embassy Abuja</v>
      </c>
      <c r="D336" s="59" t="str">
        <f>IFERROR(__xludf.DUMMYFUNCTION("""COMPUTED_VALUE"""),"Instagram")</f>
        <v>Instagram</v>
      </c>
      <c r="E336" s="60" t="str">
        <f>IFERROR(__xludf.DUMMYFUNCTION("""COMPUTED_VALUE"""),"https://www.instagram.com/usinnigeria/")</f>
        <v>https://www.instagram.com/usinnigeria/</v>
      </c>
    </row>
    <row r="337">
      <c r="A337" s="59" t="str">
        <f>IFERROR(__xludf.DUMMYFUNCTION("""COMPUTED_VALUE"""),"AF")</f>
        <v>AF</v>
      </c>
      <c r="B337" s="59" t="str">
        <f>IFERROR(__xludf.DUMMYFUNCTION("""COMPUTED_VALUE"""),"Nigeria")</f>
        <v>Nigeria</v>
      </c>
      <c r="C337" s="59" t="str">
        <f>IFERROR(__xludf.DUMMYFUNCTION("""COMPUTED_VALUE"""),"U.S. Embassy Abuja")</f>
        <v>U.S. Embassy Abuja</v>
      </c>
      <c r="D337" s="59" t="str">
        <f>IFERROR(__xludf.DUMMYFUNCTION("""COMPUTED_VALUE"""),"X")</f>
        <v>X</v>
      </c>
      <c r="E337" s="60" t="str">
        <f>IFERROR(__xludf.DUMMYFUNCTION("""COMPUTED_VALUE"""),"https://x.com/USinNigeria")</f>
        <v>https://x.com/USinNigeria</v>
      </c>
    </row>
    <row r="338">
      <c r="A338" s="59" t="str">
        <f>IFERROR(__xludf.DUMMYFUNCTION("""COMPUTED_VALUE"""),"AF")</f>
        <v>AF</v>
      </c>
      <c r="B338" s="59" t="str">
        <f>IFERROR(__xludf.DUMMYFUNCTION("""COMPUTED_VALUE"""),"Nigeria")</f>
        <v>Nigeria</v>
      </c>
      <c r="C338" s="59" t="str">
        <f>IFERROR(__xludf.DUMMYFUNCTION("""COMPUTED_VALUE"""),"U.S. Embassy Abuja")</f>
        <v>U.S. Embassy Abuja</v>
      </c>
      <c r="D338" s="59" t="str">
        <f>IFERROR(__xludf.DUMMYFUNCTION("""COMPUTED_VALUE"""),"YouTube")</f>
        <v>YouTube</v>
      </c>
      <c r="E338" s="60" t="str">
        <f>IFERROR(__xludf.DUMMYFUNCTION("""COMPUTED_VALUE"""),"https://www.youtube.com/usembassynigeria")</f>
        <v>https://www.youtube.com/usembassynigeria</v>
      </c>
    </row>
    <row r="339">
      <c r="A339" s="59" t="str">
        <f>IFERROR(__xludf.DUMMYFUNCTION("""COMPUTED_VALUE"""),"AF")</f>
        <v>AF</v>
      </c>
      <c r="B339" s="59" t="str">
        <f>IFERROR(__xludf.DUMMYFUNCTION("""COMPUTED_VALUE"""),"Nigeria")</f>
        <v>Nigeria</v>
      </c>
      <c r="C339" s="59" t="str">
        <f>IFERROR(__xludf.DUMMYFUNCTION("""COMPUTED_VALUE"""),"U.S. Embassy Abuja")</f>
        <v>U.S. Embassy Abuja</v>
      </c>
      <c r="D339" s="59" t="str">
        <f>IFERROR(__xludf.DUMMYFUNCTION("""COMPUTED_VALUE"""),"Flickr")</f>
        <v>Flickr</v>
      </c>
      <c r="E339" s="60" t="str">
        <f>IFERROR(__xludf.DUMMYFUNCTION("""COMPUTED_VALUE"""),"https://www.flickr.com/usembassynigeria")</f>
        <v>https://www.flickr.com/usembassynigeria</v>
      </c>
    </row>
    <row r="340">
      <c r="A340" s="59" t="str">
        <f>IFERROR(__xludf.DUMMYFUNCTION("""COMPUTED_VALUE"""),"AF")</f>
        <v>AF</v>
      </c>
      <c r="B340" s="59" t="str">
        <f>IFERROR(__xludf.DUMMYFUNCTION("""COMPUTED_VALUE"""),"Nigeria")</f>
        <v>Nigeria</v>
      </c>
      <c r="C340" s="59" t="str">
        <f>IFERROR(__xludf.DUMMYFUNCTION("""COMPUTED_VALUE"""),"U.S. Embassy Abuja")</f>
        <v>U.S. Embassy Abuja</v>
      </c>
      <c r="D340" s="59" t="str">
        <f>IFERROR(__xludf.DUMMYFUNCTION("""COMPUTED_VALUE"""),"Soundcloud")</f>
        <v>Soundcloud</v>
      </c>
      <c r="E340" s="60" t="str">
        <f>IFERROR(__xludf.DUMMYFUNCTION("""COMPUTED_VALUE"""),"https://soundcloud.com/usinnigeria")</f>
        <v>https://soundcloud.com/usinnigeria</v>
      </c>
    </row>
    <row r="341">
      <c r="A341" s="59" t="str">
        <f>IFERROR(__xludf.DUMMYFUNCTION("""COMPUTED_VALUE"""),"AF")</f>
        <v>AF</v>
      </c>
      <c r="B341" s="59" t="str">
        <f>IFERROR(__xludf.DUMMYFUNCTION("""COMPUTED_VALUE"""),"Republic of the Congo")</f>
        <v>Republic of the Congo</v>
      </c>
      <c r="C341" s="59" t="str">
        <f>IFERROR(__xludf.DUMMYFUNCTION("""COMPUTED_VALUE"""),"U.S. Embassy Brazzaville")</f>
        <v>U.S. Embassy Brazzaville</v>
      </c>
      <c r="D341" s="59" t="str">
        <f>IFERROR(__xludf.DUMMYFUNCTION("""COMPUTED_VALUE"""),"Facebook")</f>
        <v>Facebook</v>
      </c>
      <c r="E341" s="60" t="str">
        <f>IFERROR(__xludf.DUMMYFUNCTION("""COMPUTED_VALUE"""),"https://www.facebook.com/USAauCongo/")</f>
        <v>https://www.facebook.com/USAauCongo/</v>
      </c>
    </row>
    <row r="342">
      <c r="A342" s="59" t="str">
        <f>IFERROR(__xludf.DUMMYFUNCTION("""COMPUTED_VALUE"""),"AF")</f>
        <v>AF</v>
      </c>
      <c r="B342" s="59" t="str">
        <f>IFERROR(__xludf.DUMMYFUNCTION("""COMPUTED_VALUE"""),"Rwanda")</f>
        <v>Rwanda</v>
      </c>
      <c r="C342" s="59" t="str">
        <f>IFERROR(__xludf.DUMMYFUNCTION("""COMPUTED_VALUE"""),"U.S. Ambassador to Rwanda")</f>
        <v>U.S. Ambassador to Rwanda</v>
      </c>
      <c r="D342" s="59" t="str">
        <f>IFERROR(__xludf.DUMMYFUNCTION("""COMPUTED_VALUE"""),"X")</f>
        <v>X</v>
      </c>
      <c r="E342" s="60" t="str">
        <f>IFERROR(__xludf.DUMMYFUNCTION("""COMPUTED_VALUE"""),"https://x.com/USAmbRwanda")</f>
        <v>https://x.com/USAmbRwanda</v>
      </c>
    </row>
    <row r="343">
      <c r="A343" s="59" t="str">
        <f>IFERROR(__xludf.DUMMYFUNCTION("""COMPUTED_VALUE"""),"AF")</f>
        <v>AF</v>
      </c>
      <c r="B343" s="59" t="str">
        <f>IFERROR(__xludf.DUMMYFUNCTION("""COMPUTED_VALUE"""),"Republic of the Congo")</f>
        <v>Republic of the Congo</v>
      </c>
      <c r="C343" s="59" t="str">
        <f>IFERROR(__xludf.DUMMYFUNCTION("""COMPUTED_VALUE"""),"U.S. Embassy Brazzaville")</f>
        <v>U.S. Embassy Brazzaville</v>
      </c>
      <c r="D343" s="59" t="str">
        <f>IFERROR(__xludf.DUMMYFUNCTION("""COMPUTED_VALUE"""),"X")</f>
        <v>X</v>
      </c>
      <c r="E343" s="60" t="str">
        <f>IFERROR(__xludf.DUMMYFUNCTION("""COMPUTED_VALUE"""),"https://x.com/USAauCongo")</f>
        <v>https://x.com/USAauCongo</v>
      </c>
    </row>
    <row r="344">
      <c r="A344" s="59" t="str">
        <f>IFERROR(__xludf.DUMMYFUNCTION("""COMPUTED_VALUE"""),"AF")</f>
        <v>AF</v>
      </c>
      <c r="B344" s="59" t="str">
        <f>IFERROR(__xludf.DUMMYFUNCTION("""COMPUTED_VALUE"""),"Rwanda")</f>
        <v>Rwanda</v>
      </c>
      <c r="C344" s="59" t="str">
        <f>IFERROR(__xludf.DUMMYFUNCTION("""COMPUTED_VALUE"""),"U.S. Embassy Kigali")</f>
        <v>U.S. Embassy Kigali</v>
      </c>
      <c r="D344" s="59" t="str">
        <f>IFERROR(__xludf.DUMMYFUNCTION("""COMPUTED_VALUE"""),"Facebook")</f>
        <v>Facebook</v>
      </c>
      <c r="E344" s="60" t="str">
        <f>IFERROR(__xludf.DUMMYFUNCTION("""COMPUTED_VALUE"""),"https://www.facebook.com/kigali.usembassy/")</f>
        <v>https://www.facebook.com/kigali.usembassy/</v>
      </c>
    </row>
    <row r="345">
      <c r="A345" s="59" t="str">
        <f>IFERROR(__xludf.DUMMYFUNCTION("""COMPUTED_VALUE"""),"AF")</f>
        <v>AF</v>
      </c>
      <c r="B345" s="59" t="str">
        <f>IFERROR(__xludf.DUMMYFUNCTION("""COMPUTED_VALUE"""),"Rwanda")</f>
        <v>Rwanda</v>
      </c>
      <c r="C345" s="59" t="str">
        <f>IFERROR(__xludf.DUMMYFUNCTION("""COMPUTED_VALUE"""),"U.S. Embassy Kigali")</f>
        <v>U.S. Embassy Kigali</v>
      </c>
      <c r="D345" s="59" t="str">
        <f>IFERROR(__xludf.DUMMYFUNCTION("""COMPUTED_VALUE"""),"X")</f>
        <v>X</v>
      </c>
      <c r="E345" s="60" t="str">
        <f>IFERROR(__xludf.DUMMYFUNCTION("""COMPUTED_VALUE"""),"https://x.com/usambrwanda")</f>
        <v>https://x.com/usambrwanda</v>
      </c>
    </row>
    <row r="346">
      <c r="A346" s="59" t="str">
        <f>IFERROR(__xludf.DUMMYFUNCTION("""COMPUTED_VALUE"""),"AF")</f>
        <v>AF</v>
      </c>
      <c r="B346" s="59" t="str">
        <f>IFERROR(__xludf.DUMMYFUNCTION("""COMPUTED_VALUE"""),"Senegal")</f>
        <v>Senegal</v>
      </c>
      <c r="C346" s="59" t="str">
        <f>IFERROR(__xludf.DUMMYFUNCTION("""COMPUTED_VALUE"""),"U.S. Embassy Dakar")</f>
        <v>U.S. Embassy Dakar</v>
      </c>
      <c r="D346" s="59" t="str">
        <f>IFERROR(__xludf.DUMMYFUNCTION("""COMPUTED_VALUE"""),"Facebook")</f>
        <v>Facebook</v>
      </c>
      <c r="E346" s="60" t="str">
        <f>IFERROR(__xludf.DUMMYFUNCTION("""COMPUTED_VALUE"""),"https://www.facebook.com/usembassydakar/")</f>
        <v>https://www.facebook.com/usembassydakar/</v>
      </c>
    </row>
    <row r="347">
      <c r="A347" s="59" t="str">
        <f>IFERROR(__xludf.DUMMYFUNCTION("""COMPUTED_VALUE"""),"AF")</f>
        <v>AF</v>
      </c>
      <c r="B347" s="59" t="str">
        <f>IFERROR(__xludf.DUMMYFUNCTION("""COMPUTED_VALUE"""),"Senegal")</f>
        <v>Senegal</v>
      </c>
      <c r="C347" s="59" t="str">
        <f>IFERROR(__xludf.DUMMYFUNCTION("""COMPUTED_VALUE"""),"U.S. Embassy Dakar")</f>
        <v>U.S. Embassy Dakar</v>
      </c>
      <c r="D347" s="59" t="str">
        <f>IFERROR(__xludf.DUMMYFUNCTION("""COMPUTED_VALUE"""),"Instagram")</f>
        <v>Instagram</v>
      </c>
      <c r="E347" s="60" t="str">
        <f>IFERROR(__xludf.DUMMYFUNCTION("""COMPUTED_VALUE"""),"https://www.instagram.com/usembassydakar/")</f>
        <v>https://www.instagram.com/usembassydakar/</v>
      </c>
    </row>
    <row r="348">
      <c r="A348" s="59" t="str">
        <f>IFERROR(__xludf.DUMMYFUNCTION("""COMPUTED_VALUE"""),"AF")</f>
        <v>AF</v>
      </c>
      <c r="B348" s="59" t="str">
        <f>IFERROR(__xludf.DUMMYFUNCTION("""COMPUTED_VALUE"""),"Senegal")</f>
        <v>Senegal</v>
      </c>
      <c r="C348" s="59" t="str">
        <f>IFERROR(__xludf.DUMMYFUNCTION("""COMPUTED_VALUE"""),"U.S. Embassy Dakar")</f>
        <v>U.S. Embassy Dakar</v>
      </c>
      <c r="D348" s="59" t="str">
        <f>IFERROR(__xludf.DUMMYFUNCTION("""COMPUTED_VALUE"""),"X")</f>
        <v>X</v>
      </c>
      <c r="E348" s="60" t="str">
        <f>IFERROR(__xludf.DUMMYFUNCTION("""COMPUTED_VALUE"""),"https://x.com/usembassydakar")</f>
        <v>https://x.com/usembassydakar</v>
      </c>
    </row>
    <row r="349">
      <c r="A349" s="59" t="str">
        <f>IFERROR(__xludf.DUMMYFUNCTION("""COMPUTED_VALUE"""),"AF")</f>
        <v>AF</v>
      </c>
      <c r="B349" s="59" t="str">
        <f>IFERROR(__xludf.DUMMYFUNCTION("""COMPUTED_VALUE"""),"Senegal")</f>
        <v>Senegal</v>
      </c>
      <c r="C349" s="59" t="str">
        <f>IFERROR(__xludf.DUMMYFUNCTION("""COMPUTED_VALUE"""),"U.S. Embassy Dakar")</f>
        <v>U.S. Embassy Dakar</v>
      </c>
      <c r="D349" s="59" t="str">
        <f>IFERROR(__xludf.DUMMYFUNCTION("""COMPUTED_VALUE"""),"YouTube")</f>
        <v>YouTube</v>
      </c>
      <c r="E349" s="60" t="str">
        <f>IFERROR(__xludf.DUMMYFUNCTION("""COMPUTED_VALUE"""),"https://www.youtube.com/@usembassysenegal")</f>
        <v>https://www.youtube.com/@usembassysenegal</v>
      </c>
    </row>
    <row r="350">
      <c r="A350" s="59" t="str">
        <f>IFERROR(__xludf.DUMMYFUNCTION("""COMPUTED_VALUE"""),"AF")</f>
        <v>AF</v>
      </c>
      <c r="B350" s="59" t="str">
        <f>IFERROR(__xludf.DUMMYFUNCTION("""COMPUTED_VALUE"""),"Seychelles")</f>
        <v>Seychelles</v>
      </c>
      <c r="C350" s="59" t="str">
        <f>IFERROR(__xludf.DUMMYFUNCTION("""COMPUTED_VALUE"""),"U.S. Embassy in Seychelles")</f>
        <v>U.S. Embassy in Seychelles</v>
      </c>
      <c r="D350" s="59" t="str">
        <f>IFERROR(__xludf.DUMMYFUNCTION("""COMPUTED_VALUE"""),"Facebook")</f>
        <v>Facebook</v>
      </c>
      <c r="E350" s="60" t="str">
        <f>IFERROR(__xludf.DUMMYFUNCTION("""COMPUTED_VALUE"""),"https://www.facebook.com/USinSeychelles")</f>
        <v>https://www.facebook.com/USinSeychelles</v>
      </c>
    </row>
    <row r="351">
      <c r="A351" s="59" t="str">
        <f>IFERROR(__xludf.DUMMYFUNCTION("""COMPUTED_VALUE"""),"AF")</f>
        <v>AF</v>
      </c>
      <c r="B351" s="59" t="str">
        <f>IFERROR(__xludf.DUMMYFUNCTION("""COMPUTED_VALUE"""),"Sierra Leone")</f>
        <v>Sierra Leone</v>
      </c>
      <c r="C351" s="59" t="str">
        <f>IFERROR(__xludf.DUMMYFUNCTION("""COMPUTED_VALUE"""),"U.S. Embassy Freetown")</f>
        <v>U.S. Embassy Freetown</v>
      </c>
      <c r="D351" s="59" t="str">
        <f>IFERROR(__xludf.DUMMYFUNCTION("""COMPUTED_VALUE"""),"Facebook")</f>
        <v>Facebook</v>
      </c>
      <c r="E351" s="60" t="str">
        <f>IFERROR(__xludf.DUMMYFUNCTION("""COMPUTED_VALUE"""),"https://www.facebook.com/sierraleone.usembassy/")</f>
        <v>https://www.facebook.com/sierraleone.usembassy/</v>
      </c>
    </row>
    <row r="352">
      <c r="A352" s="59" t="str">
        <f>IFERROR(__xludf.DUMMYFUNCTION("""COMPUTED_VALUE"""),"AF")</f>
        <v>AF</v>
      </c>
      <c r="B352" s="59" t="str">
        <f>IFERROR(__xludf.DUMMYFUNCTION("""COMPUTED_VALUE"""),"Sierra Leone")</f>
        <v>Sierra Leone</v>
      </c>
      <c r="C352" s="59" t="str">
        <f>IFERROR(__xludf.DUMMYFUNCTION("""COMPUTED_VALUE"""),"U.S. Embassy Freetown")</f>
        <v>U.S. Embassy Freetown</v>
      </c>
      <c r="D352" s="59" t="str">
        <f>IFERROR(__xludf.DUMMYFUNCTION("""COMPUTED_VALUE"""),"X")</f>
        <v>X</v>
      </c>
      <c r="E352" s="60" t="str">
        <f>IFERROR(__xludf.DUMMYFUNCTION("""COMPUTED_VALUE"""),"https://x.com/USEmbFreetown")</f>
        <v>https://x.com/USEmbFreetown</v>
      </c>
    </row>
    <row r="353">
      <c r="A353" s="59" t="str">
        <f>IFERROR(__xludf.DUMMYFUNCTION("""COMPUTED_VALUE"""),"AF")</f>
        <v>AF</v>
      </c>
      <c r="B353" s="59" t="str">
        <f>IFERROR(__xludf.DUMMYFUNCTION("""COMPUTED_VALUE"""),"Somalia")</f>
        <v>Somalia</v>
      </c>
      <c r="C353" s="59" t="str">
        <f>IFERROR(__xludf.DUMMYFUNCTION("""COMPUTED_VALUE"""),"U.S. Mission Somalia")</f>
        <v>U.S. Mission Somalia</v>
      </c>
      <c r="D353" s="59" t="str">
        <f>IFERROR(__xludf.DUMMYFUNCTION("""COMPUTED_VALUE"""),"Facebook")</f>
        <v>Facebook</v>
      </c>
      <c r="E353" s="60" t="str">
        <f>IFERROR(__xludf.DUMMYFUNCTION("""COMPUTED_VALUE"""),"https://www.facebook.com/US2Somalia/")</f>
        <v>https://www.facebook.com/US2Somalia/</v>
      </c>
    </row>
    <row r="354">
      <c r="A354" s="59" t="str">
        <f>IFERROR(__xludf.DUMMYFUNCTION("""COMPUTED_VALUE"""),"AF")</f>
        <v>AF</v>
      </c>
      <c r="B354" s="59" t="str">
        <f>IFERROR(__xludf.DUMMYFUNCTION("""COMPUTED_VALUE"""),"Somalia")</f>
        <v>Somalia</v>
      </c>
      <c r="C354" s="59" t="str">
        <f>IFERROR(__xludf.DUMMYFUNCTION("""COMPUTED_VALUE"""),"U.S. Mission Somalia")</f>
        <v>U.S. Mission Somalia</v>
      </c>
      <c r="D354" s="59" t="str">
        <f>IFERROR(__xludf.DUMMYFUNCTION("""COMPUTED_VALUE"""),"X")</f>
        <v>X</v>
      </c>
      <c r="E354" s="60" t="str">
        <f>IFERROR(__xludf.DUMMYFUNCTION("""COMPUTED_VALUE"""),"https://x.com/US2SOMALIA")</f>
        <v>https://x.com/US2SOMALIA</v>
      </c>
    </row>
    <row r="355">
      <c r="A355" s="59" t="str">
        <f>IFERROR(__xludf.DUMMYFUNCTION("""COMPUTED_VALUE"""),"AF")</f>
        <v>AF</v>
      </c>
      <c r="B355" s="59" t="str">
        <f>IFERROR(__xludf.DUMMYFUNCTION("""COMPUTED_VALUE"""),"South Africa")</f>
        <v>South Africa</v>
      </c>
      <c r="C355" s="59" t="str">
        <f>IFERROR(__xludf.DUMMYFUNCTION("""COMPUTED_VALUE"""),"U.S. Ambassador to South Africa")</f>
        <v>U.S. Ambassador to South Africa</v>
      </c>
      <c r="D355" s="59" t="str">
        <f>IFERROR(__xludf.DUMMYFUNCTION("""COMPUTED_VALUE"""),"X")</f>
        <v>X</v>
      </c>
      <c r="E355" s="60" t="str">
        <f>IFERROR(__xludf.DUMMYFUNCTION("""COMPUTED_VALUE"""),"https://x.com/USAmbRSA")</f>
        <v>https://x.com/USAmbRSA</v>
      </c>
    </row>
    <row r="356">
      <c r="A356" s="59" t="str">
        <f>IFERROR(__xludf.DUMMYFUNCTION("""COMPUTED_VALUE"""),"AF")</f>
        <v>AF</v>
      </c>
      <c r="B356" s="59" t="str">
        <f>IFERROR(__xludf.DUMMYFUNCTION("""COMPUTED_VALUE"""),"South Africa")</f>
        <v>South Africa</v>
      </c>
      <c r="C356" s="59" t="str">
        <f>IFERROR(__xludf.DUMMYFUNCTION("""COMPUTED_VALUE"""),"U.S. Consulate General Cape Town")</f>
        <v>U.S. Consulate General Cape Town</v>
      </c>
      <c r="D356" s="59" t="str">
        <f>IFERROR(__xludf.DUMMYFUNCTION("""COMPUTED_VALUE"""),"Facebook")</f>
        <v>Facebook</v>
      </c>
      <c r="E356" s="60" t="str">
        <f>IFERROR(__xludf.DUMMYFUNCTION("""COMPUTED_VALUE"""),"https://www.facebook.com/USConsulateCT/")</f>
        <v>https://www.facebook.com/USConsulateCT/</v>
      </c>
    </row>
    <row r="357">
      <c r="A357" s="4" t="str">
        <f>IFERROR(__xludf.DUMMYFUNCTION("""COMPUTED_VALUE"""),"AF")</f>
        <v>AF</v>
      </c>
      <c r="B357" s="4" t="str">
        <f>IFERROR(__xludf.DUMMYFUNCTION("""COMPUTED_VALUE"""),"South Africa")</f>
        <v>South Africa</v>
      </c>
      <c r="C357" s="4" t="str">
        <f>IFERROR(__xludf.DUMMYFUNCTION("""COMPUTED_VALUE"""),"U.S. Consulate General Cape Town")</f>
        <v>U.S. Consulate General Cape Town</v>
      </c>
      <c r="D357" s="4" t="str">
        <f>IFERROR(__xludf.DUMMYFUNCTION("""COMPUTED_VALUE"""),"Instagram")</f>
        <v>Instagram</v>
      </c>
      <c r="E357" s="6" t="str">
        <f>IFERROR(__xludf.DUMMYFUNCTION("""COMPUTED_VALUE"""),"https://www.instagram.com/usconsulatect/")</f>
        <v>https://www.instagram.com/usconsulatect/</v>
      </c>
    </row>
    <row r="358">
      <c r="A358" s="4" t="str">
        <f>IFERROR(__xludf.DUMMYFUNCTION("""COMPUTED_VALUE"""),"AF")</f>
        <v>AF</v>
      </c>
      <c r="B358" s="4" t="str">
        <f>IFERROR(__xludf.DUMMYFUNCTION("""COMPUTED_VALUE"""),"South Africa")</f>
        <v>South Africa</v>
      </c>
      <c r="C358" s="4" t="str">
        <f>IFERROR(__xludf.DUMMYFUNCTION("""COMPUTED_VALUE"""),"U.S. Consulate General Cape Town")</f>
        <v>U.S. Consulate General Cape Town</v>
      </c>
      <c r="D358" s="4" t="str">
        <f>IFERROR(__xludf.DUMMYFUNCTION("""COMPUTED_VALUE"""),"X")</f>
        <v>X</v>
      </c>
      <c r="E358" s="6" t="str">
        <f>IFERROR(__xludf.DUMMYFUNCTION("""COMPUTED_VALUE"""),"https://x.com/usconsulatect")</f>
        <v>https://x.com/usconsulatect</v>
      </c>
    </row>
    <row r="359">
      <c r="A359" s="4" t="str">
        <f>IFERROR(__xludf.DUMMYFUNCTION("""COMPUTED_VALUE"""),"AF")</f>
        <v>AF</v>
      </c>
      <c r="B359" s="4" t="str">
        <f>IFERROR(__xludf.DUMMYFUNCTION("""COMPUTED_VALUE"""),"South Africa")</f>
        <v>South Africa</v>
      </c>
      <c r="C359" s="4" t="str">
        <f>IFERROR(__xludf.DUMMYFUNCTION("""COMPUTED_VALUE"""),"U.S. Embassy Pretoria")</f>
        <v>U.S. Embassy Pretoria</v>
      </c>
      <c r="D359" s="4" t="str">
        <f>IFERROR(__xludf.DUMMYFUNCTION("""COMPUTED_VALUE"""),"Facebook")</f>
        <v>Facebook</v>
      </c>
      <c r="E359" s="6" t="str">
        <f>IFERROR(__xludf.DUMMYFUNCTION("""COMPUTED_VALUE"""),"https://www.facebook.com/USEmbassySA/")</f>
        <v>https://www.facebook.com/USEmbassySA/</v>
      </c>
    </row>
    <row r="360">
      <c r="A360" s="4" t="str">
        <f>IFERROR(__xludf.DUMMYFUNCTION("""COMPUTED_VALUE"""),"AF")</f>
        <v>AF</v>
      </c>
      <c r="B360" s="4" t="str">
        <f>IFERROR(__xludf.DUMMYFUNCTION("""COMPUTED_VALUE"""),"South Africa")</f>
        <v>South Africa</v>
      </c>
      <c r="C360" s="4" t="str">
        <f>IFERROR(__xludf.DUMMYFUNCTION("""COMPUTED_VALUE"""),"U.S. Embassy Pretoria")</f>
        <v>U.S. Embassy Pretoria</v>
      </c>
      <c r="D360" s="4" t="str">
        <f>IFERROR(__xludf.DUMMYFUNCTION("""COMPUTED_VALUE"""),"Instagram")</f>
        <v>Instagram</v>
      </c>
      <c r="E360" s="6" t="str">
        <f>IFERROR(__xludf.DUMMYFUNCTION("""COMPUTED_VALUE"""),"https://www.instagram.com/usembassysa")</f>
        <v>https://www.instagram.com/usembassysa</v>
      </c>
    </row>
    <row r="361">
      <c r="A361" s="4" t="str">
        <f>IFERROR(__xludf.DUMMYFUNCTION("""COMPUTED_VALUE"""),"AF")</f>
        <v>AF</v>
      </c>
      <c r="B361" s="4" t="str">
        <f>IFERROR(__xludf.DUMMYFUNCTION("""COMPUTED_VALUE"""),"South Africa")</f>
        <v>South Africa</v>
      </c>
      <c r="C361" s="4" t="str">
        <f>IFERROR(__xludf.DUMMYFUNCTION("""COMPUTED_VALUE"""),"U.S. Embassy Pretoria")</f>
        <v>U.S. Embassy Pretoria</v>
      </c>
      <c r="D361" s="4" t="str">
        <f>IFERROR(__xludf.DUMMYFUNCTION("""COMPUTED_VALUE"""),"X")</f>
        <v>X</v>
      </c>
      <c r="E361" s="6" t="str">
        <f>IFERROR(__xludf.DUMMYFUNCTION("""COMPUTED_VALUE"""),"https://x.com/USEmbassySA")</f>
        <v>https://x.com/USEmbassySA</v>
      </c>
    </row>
    <row r="362">
      <c r="A362" s="4" t="str">
        <f>IFERROR(__xludf.DUMMYFUNCTION("""COMPUTED_VALUE"""),"AF")</f>
        <v>AF</v>
      </c>
      <c r="B362" s="4" t="str">
        <f>IFERROR(__xludf.DUMMYFUNCTION("""COMPUTED_VALUE"""),"South Africa")</f>
        <v>South Africa</v>
      </c>
      <c r="C362" s="4" t="str">
        <f>IFERROR(__xludf.DUMMYFUNCTION("""COMPUTED_VALUE"""),"U.S. Embassy Pretoria")</f>
        <v>U.S. Embassy Pretoria</v>
      </c>
      <c r="D362" s="4" t="str">
        <f>IFERROR(__xludf.DUMMYFUNCTION("""COMPUTED_VALUE"""),"YouTube")</f>
        <v>YouTube</v>
      </c>
      <c r="E362" s="6" t="str">
        <f>IFERROR(__xludf.DUMMYFUNCTION("""COMPUTED_VALUE"""),"https://www.youtube.com/@USEmbassySA")</f>
        <v>https://www.youtube.com/@USEmbassySA</v>
      </c>
    </row>
    <row r="363">
      <c r="A363" s="4" t="str">
        <f>IFERROR(__xludf.DUMMYFUNCTION("""COMPUTED_VALUE"""),"AF")</f>
        <v>AF</v>
      </c>
      <c r="B363" s="4" t="str">
        <f>IFERROR(__xludf.DUMMYFUNCTION("""COMPUTED_VALUE"""),"South Africa")</f>
        <v>South Africa</v>
      </c>
      <c r="C363" s="4" t="str">
        <f>IFERROR(__xludf.DUMMYFUNCTION("""COMPUTED_VALUE"""),"U.S. Embassy Pretoria")</f>
        <v>U.S. Embassy Pretoria</v>
      </c>
      <c r="D363" s="4" t="str">
        <f>IFERROR(__xludf.DUMMYFUNCTION("""COMPUTED_VALUE"""),"LinkedIn")</f>
        <v>LinkedIn</v>
      </c>
      <c r="E363" s="6" t="str">
        <f>IFERROR(__xludf.DUMMYFUNCTION("""COMPUTED_VALUE"""),"https://www.linkedin.com/company/usembassysa/")</f>
        <v>https://www.linkedin.com/company/usembassysa/</v>
      </c>
    </row>
    <row r="364">
      <c r="A364" s="4" t="str">
        <f>IFERROR(__xludf.DUMMYFUNCTION("""COMPUTED_VALUE"""),"AF")</f>
        <v>AF</v>
      </c>
      <c r="B364" s="4" t="str">
        <f>IFERROR(__xludf.DUMMYFUNCTION("""COMPUTED_VALUE"""),"South Sudan")</f>
        <v>South Sudan</v>
      </c>
      <c r="C364" s="4" t="str">
        <f>IFERROR(__xludf.DUMMYFUNCTION("""COMPUTED_VALUE"""),"U.S. Embassy Juba")</f>
        <v>U.S. Embassy Juba</v>
      </c>
      <c r="D364" s="4" t="str">
        <f>IFERROR(__xludf.DUMMYFUNCTION("""COMPUTED_VALUE"""),"Facebook")</f>
        <v>Facebook</v>
      </c>
      <c r="E364" s="6" t="str">
        <f>IFERROR(__xludf.DUMMYFUNCTION("""COMPUTED_VALUE"""),"https://www.facebook.com/USEmbassySouthSudan")</f>
        <v>https://www.facebook.com/USEmbassySouthSudan</v>
      </c>
    </row>
    <row r="365">
      <c r="A365" s="4" t="str">
        <f>IFERROR(__xludf.DUMMYFUNCTION("""COMPUTED_VALUE"""),"AF")</f>
        <v>AF</v>
      </c>
      <c r="B365" s="4" t="str">
        <f>IFERROR(__xludf.DUMMYFUNCTION("""COMPUTED_VALUE"""),"South Sudan")</f>
        <v>South Sudan</v>
      </c>
      <c r="C365" s="4" t="str">
        <f>IFERROR(__xludf.DUMMYFUNCTION("""COMPUTED_VALUE"""),"U.S. Embassy Juba")</f>
        <v>U.S. Embassy Juba</v>
      </c>
      <c r="D365" s="4" t="str">
        <f>IFERROR(__xludf.DUMMYFUNCTION("""COMPUTED_VALUE"""),"X")</f>
        <v>X</v>
      </c>
      <c r="E365" s="6" t="str">
        <f>IFERROR(__xludf.DUMMYFUNCTION("""COMPUTED_VALUE"""),"https://x.com/USMissionJuba")</f>
        <v>https://x.com/USMissionJuba</v>
      </c>
    </row>
    <row r="366">
      <c r="A366" s="4" t="str">
        <f>IFERROR(__xludf.DUMMYFUNCTION("""COMPUTED_VALUE"""),"AF")</f>
        <v>AF</v>
      </c>
      <c r="B366" s="4" t="str">
        <f>IFERROR(__xludf.DUMMYFUNCTION("""COMPUTED_VALUE"""),"Sudan")</f>
        <v>Sudan</v>
      </c>
      <c r="C366" s="4" t="str">
        <f>IFERROR(__xludf.DUMMYFUNCTION("""COMPUTED_VALUE"""),"U.S. Embassy to Sudan")</f>
        <v>U.S. Embassy to Sudan</v>
      </c>
      <c r="D366" s="4" t="str">
        <f>IFERROR(__xludf.DUMMYFUNCTION("""COMPUTED_VALUE"""),"X")</f>
        <v>X</v>
      </c>
      <c r="E366" s="6" t="str">
        <f>IFERROR(__xludf.DUMMYFUNCTION("""COMPUTED_VALUE"""),"https://x.com/USAMBSudan")</f>
        <v>https://x.com/USAMBSudan</v>
      </c>
    </row>
    <row r="367">
      <c r="A367" s="4" t="str">
        <f>IFERROR(__xludf.DUMMYFUNCTION("""COMPUTED_VALUE"""),"AF")</f>
        <v>AF</v>
      </c>
      <c r="B367" s="4" t="str">
        <f>IFERROR(__xludf.DUMMYFUNCTION("""COMPUTED_VALUE"""),"Sudan")</f>
        <v>Sudan</v>
      </c>
      <c r="C367" s="4" t="str">
        <f>IFERROR(__xludf.DUMMYFUNCTION("""COMPUTED_VALUE"""),"U.S. Embassy Khartoum")</f>
        <v>U.S. Embassy Khartoum</v>
      </c>
      <c r="D367" s="4" t="str">
        <f>IFERROR(__xludf.DUMMYFUNCTION("""COMPUTED_VALUE"""),"Facebook")</f>
        <v>Facebook</v>
      </c>
      <c r="E367" s="6" t="str">
        <f>IFERROR(__xludf.DUMMYFUNCTION("""COMPUTED_VALUE"""),"https://www.facebook.com/khartoum.usembassy/")</f>
        <v>https://www.facebook.com/khartoum.usembassy/</v>
      </c>
    </row>
    <row r="368">
      <c r="A368" s="4" t="str">
        <f>IFERROR(__xludf.DUMMYFUNCTION("""COMPUTED_VALUE"""),"AF")</f>
        <v>AF</v>
      </c>
      <c r="B368" s="4" t="str">
        <f>IFERROR(__xludf.DUMMYFUNCTION("""COMPUTED_VALUE"""),"Sudan")</f>
        <v>Sudan</v>
      </c>
      <c r="C368" s="4" t="str">
        <f>IFERROR(__xludf.DUMMYFUNCTION("""COMPUTED_VALUE"""),"U.S. Embassy Khartoum")</f>
        <v>U.S. Embassy Khartoum</v>
      </c>
      <c r="D368" s="4" t="str">
        <f>IFERROR(__xludf.DUMMYFUNCTION("""COMPUTED_VALUE"""),"X")</f>
        <v>X</v>
      </c>
      <c r="E368" s="6" t="str">
        <f>IFERROR(__xludf.DUMMYFUNCTION("""COMPUTED_VALUE"""),"https://x.com/USEmbassyKRT")</f>
        <v>https://x.com/USEmbassyKRT</v>
      </c>
    </row>
    <row r="369">
      <c r="A369" s="4" t="str">
        <f>IFERROR(__xludf.DUMMYFUNCTION("""COMPUTED_VALUE"""),"AF")</f>
        <v>AF</v>
      </c>
      <c r="B369" s="4" t="str">
        <f>IFERROR(__xludf.DUMMYFUNCTION("""COMPUTED_VALUE"""),"Tanzania")</f>
        <v>Tanzania</v>
      </c>
      <c r="C369" s="4" t="str">
        <f>IFERROR(__xludf.DUMMYFUNCTION("""COMPUTED_VALUE"""),"U.S. Ambassador to Tanzania")</f>
        <v>U.S. Ambassador to Tanzania</v>
      </c>
      <c r="D369" s="4" t="str">
        <f>IFERROR(__xludf.DUMMYFUNCTION("""COMPUTED_VALUE"""),"X")</f>
        <v>X</v>
      </c>
      <c r="E369" s="6" t="str">
        <f>IFERROR(__xludf.DUMMYFUNCTION("""COMPUTED_VALUE"""),"https://x.com/USAmbTanzania")</f>
        <v>https://x.com/USAmbTanzania</v>
      </c>
    </row>
    <row r="370">
      <c r="A370" s="4" t="str">
        <f>IFERROR(__xludf.DUMMYFUNCTION("""COMPUTED_VALUE"""),"AF")</f>
        <v>AF</v>
      </c>
      <c r="B370" s="4" t="str">
        <f>IFERROR(__xludf.DUMMYFUNCTION("""COMPUTED_VALUE"""),"Tanzania")</f>
        <v>Tanzania</v>
      </c>
      <c r="C370" s="4" t="str">
        <f>IFERROR(__xludf.DUMMYFUNCTION("""COMPUTED_VALUE"""),"U.S. Embassy Dar es Salaam")</f>
        <v>U.S. Embassy Dar es Salaam</v>
      </c>
      <c r="D370" s="4" t="str">
        <f>IFERROR(__xludf.DUMMYFUNCTION("""COMPUTED_VALUE"""),"Facebook")</f>
        <v>Facebook</v>
      </c>
      <c r="E370" s="6" t="str">
        <f>IFERROR(__xludf.DUMMYFUNCTION("""COMPUTED_VALUE"""),"https://www.facebook.com/usembassytz/")</f>
        <v>https://www.facebook.com/usembassytz/</v>
      </c>
    </row>
    <row r="371">
      <c r="A371" s="4" t="str">
        <f>IFERROR(__xludf.DUMMYFUNCTION("""COMPUTED_VALUE"""),"AF")</f>
        <v>AF</v>
      </c>
      <c r="B371" s="4" t="str">
        <f>IFERROR(__xludf.DUMMYFUNCTION("""COMPUTED_VALUE"""),"Tanzania")</f>
        <v>Tanzania</v>
      </c>
      <c r="C371" s="4" t="str">
        <f>IFERROR(__xludf.DUMMYFUNCTION("""COMPUTED_VALUE"""),"U.S. Embassy Dar es Salaam")</f>
        <v>U.S. Embassy Dar es Salaam</v>
      </c>
      <c r="D371" s="4" t="str">
        <f>IFERROR(__xludf.DUMMYFUNCTION("""COMPUTED_VALUE"""),"Instagram")</f>
        <v>Instagram</v>
      </c>
      <c r="E371" s="6" t="str">
        <f>IFERROR(__xludf.DUMMYFUNCTION("""COMPUTED_VALUE"""),"https://www.instagram.com/usembassytz/")</f>
        <v>https://www.instagram.com/usembassytz/</v>
      </c>
    </row>
    <row r="372">
      <c r="A372" s="4" t="str">
        <f>IFERROR(__xludf.DUMMYFUNCTION("""COMPUTED_VALUE"""),"AF")</f>
        <v>AF</v>
      </c>
      <c r="B372" s="4" t="str">
        <f>IFERROR(__xludf.DUMMYFUNCTION("""COMPUTED_VALUE"""),"Tanzania")</f>
        <v>Tanzania</v>
      </c>
      <c r="C372" s="4" t="str">
        <f>IFERROR(__xludf.DUMMYFUNCTION("""COMPUTED_VALUE"""),"U.S. Embassy Dar es Salaam")</f>
        <v>U.S. Embassy Dar es Salaam</v>
      </c>
      <c r="D372" s="4" t="str">
        <f>IFERROR(__xludf.DUMMYFUNCTION("""COMPUTED_VALUE"""),"X")</f>
        <v>X</v>
      </c>
      <c r="E372" s="6" t="str">
        <f>IFERROR(__xludf.DUMMYFUNCTION("""COMPUTED_VALUE"""),"https://x.com/usembassytz")</f>
        <v>https://x.com/usembassytz</v>
      </c>
    </row>
    <row r="373">
      <c r="A373" s="4" t="str">
        <f>IFERROR(__xludf.DUMMYFUNCTION("""COMPUTED_VALUE"""),"AF")</f>
        <v>AF</v>
      </c>
      <c r="B373" s="4" t="str">
        <f>IFERROR(__xludf.DUMMYFUNCTION("""COMPUTED_VALUE"""),"Tanzania")</f>
        <v>Tanzania</v>
      </c>
      <c r="C373" s="4" t="str">
        <f>IFERROR(__xludf.DUMMYFUNCTION("""COMPUTED_VALUE"""),"U.S. Embassy Dar es Salaam")</f>
        <v>U.S. Embassy Dar es Salaam</v>
      </c>
      <c r="D373" s="4" t="str">
        <f>IFERROR(__xludf.DUMMYFUNCTION("""COMPUTED_VALUE"""),"LinkedIn")</f>
        <v>LinkedIn</v>
      </c>
      <c r="E373" s="6" t="str">
        <f>IFERROR(__xludf.DUMMYFUNCTION("""COMPUTED_VALUE"""),"https://www.linkedin.com/showcase/usambtanzania/")</f>
        <v>https://www.linkedin.com/showcase/usambtanzania/</v>
      </c>
    </row>
    <row r="374">
      <c r="A374" s="4" t="str">
        <f>IFERROR(__xludf.DUMMYFUNCTION("""COMPUTED_VALUE"""),"AF")</f>
        <v>AF</v>
      </c>
      <c r="B374" s="4" t="str">
        <f>IFERROR(__xludf.DUMMYFUNCTION("""COMPUTED_VALUE"""),"Tanzania")</f>
        <v>Tanzania</v>
      </c>
      <c r="C374" s="4" t="str">
        <f>IFERROR(__xludf.DUMMYFUNCTION("""COMPUTED_VALUE"""),"U.S. Embassy Dar es Salaam")</f>
        <v>U.S. Embassy Dar es Salaam</v>
      </c>
      <c r="D374" s="4" t="str">
        <f>IFERROR(__xludf.DUMMYFUNCTION("""COMPUTED_VALUE"""),"YouTube")</f>
        <v>YouTube</v>
      </c>
      <c r="E374" s="6" t="str">
        <f>IFERROR(__xludf.DUMMYFUNCTION("""COMPUTED_VALUE"""),"https://www.youtube.com/@USEmbassyTZA")</f>
        <v>https://www.youtube.com/@USEmbassyTZA</v>
      </c>
    </row>
    <row r="375">
      <c r="A375" s="4" t="str">
        <f>IFERROR(__xludf.DUMMYFUNCTION("""COMPUTED_VALUE"""),"AF")</f>
        <v>AF</v>
      </c>
      <c r="B375" s="4" t="str">
        <f>IFERROR(__xludf.DUMMYFUNCTION("""COMPUTED_VALUE"""),"Togo")</f>
        <v>Togo</v>
      </c>
      <c r="C375" s="4" t="str">
        <f>IFERROR(__xludf.DUMMYFUNCTION("""COMPUTED_VALUE"""),"U.S. Embassy Lome")</f>
        <v>U.S. Embassy Lome</v>
      </c>
      <c r="D375" s="4" t="str">
        <f>IFERROR(__xludf.DUMMYFUNCTION("""COMPUTED_VALUE"""),"Facebook")</f>
        <v>Facebook</v>
      </c>
      <c r="E375" s="6" t="str">
        <f>IFERROR(__xludf.DUMMYFUNCTION("""COMPUTED_VALUE"""),"https://www.facebook.com/USEmbassyLome/")</f>
        <v>https://www.facebook.com/USEmbassyLome/</v>
      </c>
    </row>
    <row r="376">
      <c r="A376" s="4" t="str">
        <f>IFERROR(__xludf.DUMMYFUNCTION("""COMPUTED_VALUE"""),"AF")</f>
        <v>AF</v>
      </c>
      <c r="B376" s="4" t="str">
        <f>IFERROR(__xludf.DUMMYFUNCTION("""COMPUTED_VALUE"""),"Togo")</f>
        <v>Togo</v>
      </c>
      <c r="C376" s="4" t="str">
        <f>IFERROR(__xludf.DUMMYFUNCTION("""COMPUTED_VALUE"""),"U.S. Embassy Lome")</f>
        <v>U.S. Embassy Lome</v>
      </c>
      <c r="D376" s="4" t="str">
        <f>IFERROR(__xludf.DUMMYFUNCTION("""COMPUTED_VALUE"""),"X")</f>
        <v>X</v>
      </c>
      <c r="E376" s="6" t="str">
        <f>IFERROR(__xludf.DUMMYFUNCTION("""COMPUTED_VALUE"""),"https://x.com/USEmbassyLome")</f>
        <v>https://x.com/USEmbassyLome</v>
      </c>
    </row>
    <row r="377">
      <c r="A377" s="4" t="str">
        <f>IFERROR(__xludf.DUMMYFUNCTION("""COMPUTED_VALUE"""),"AF")</f>
        <v>AF</v>
      </c>
      <c r="B377" s="4" t="str">
        <f>IFERROR(__xludf.DUMMYFUNCTION("""COMPUTED_VALUE"""),"Uganda")</f>
        <v>Uganda</v>
      </c>
      <c r="C377" s="4" t="str">
        <f>IFERROR(__xludf.DUMMYFUNCTION("""COMPUTED_VALUE"""),"U.S. Embassy Kampala")</f>
        <v>U.S. Embassy Kampala</v>
      </c>
      <c r="D377" s="4" t="str">
        <f>IFERROR(__xludf.DUMMYFUNCTION("""COMPUTED_VALUE"""),"Facebook")</f>
        <v>Facebook</v>
      </c>
      <c r="E377" s="6" t="str">
        <f>IFERROR(__xludf.DUMMYFUNCTION("""COMPUTED_VALUE"""),"https://www.facebook.com/U.S.EmbassyKampala/")</f>
        <v>https://www.facebook.com/U.S.EmbassyKampala/</v>
      </c>
    </row>
    <row r="378">
      <c r="A378" s="4" t="str">
        <f>IFERROR(__xludf.DUMMYFUNCTION("""COMPUTED_VALUE"""),"AF")</f>
        <v>AF</v>
      </c>
      <c r="B378" s="4" t="str">
        <f>IFERROR(__xludf.DUMMYFUNCTION("""COMPUTED_VALUE"""),"Uganda")</f>
        <v>Uganda</v>
      </c>
      <c r="C378" s="4" t="str">
        <f>IFERROR(__xludf.DUMMYFUNCTION("""COMPUTED_VALUE"""),"U.S. Embassy Kampala")</f>
        <v>U.S. Embassy Kampala</v>
      </c>
      <c r="D378" s="4" t="str">
        <f>IFERROR(__xludf.DUMMYFUNCTION("""COMPUTED_VALUE"""),"Instagram")</f>
        <v>Instagram</v>
      </c>
      <c r="E378" s="6" t="str">
        <f>IFERROR(__xludf.DUMMYFUNCTION("""COMPUTED_VALUE"""),"https://www.instagram.com/usmissionuganda/")</f>
        <v>https://www.instagram.com/usmissionuganda/</v>
      </c>
    </row>
    <row r="379">
      <c r="A379" s="4" t="str">
        <f>IFERROR(__xludf.DUMMYFUNCTION("""COMPUTED_VALUE"""),"AF")</f>
        <v>AF</v>
      </c>
      <c r="B379" s="4" t="str">
        <f>IFERROR(__xludf.DUMMYFUNCTION("""COMPUTED_VALUE"""),"Uganda")</f>
        <v>Uganda</v>
      </c>
      <c r="C379" s="4" t="str">
        <f>IFERROR(__xludf.DUMMYFUNCTION("""COMPUTED_VALUE"""),"U.S. Embassy Kampala")</f>
        <v>U.S. Embassy Kampala</v>
      </c>
      <c r="D379" s="4" t="str">
        <f>IFERROR(__xludf.DUMMYFUNCTION("""COMPUTED_VALUE"""),"X")</f>
        <v>X</v>
      </c>
      <c r="E379" s="6" t="str">
        <f>IFERROR(__xludf.DUMMYFUNCTION("""COMPUTED_VALUE"""),"https://x.com/usmissionuganda")</f>
        <v>https://x.com/usmissionuganda</v>
      </c>
    </row>
    <row r="380">
      <c r="A380" s="4" t="str">
        <f>IFERROR(__xludf.DUMMYFUNCTION("""COMPUTED_VALUE"""),"AF")</f>
        <v>AF</v>
      </c>
      <c r="B380" s="4" t="str">
        <f>IFERROR(__xludf.DUMMYFUNCTION("""COMPUTED_VALUE"""),"Uganda")</f>
        <v>Uganda</v>
      </c>
      <c r="C380" s="4" t="str">
        <f>IFERROR(__xludf.DUMMYFUNCTION("""COMPUTED_VALUE"""),"U.S. Embassy Kampala")</f>
        <v>U.S. Embassy Kampala</v>
      </c>
      <c r="D380" s="4" t="str">
        <f>IFERROR(__xludf.DUMMYFUNCTION("""COMPUTED_VALUE"""),"Flickr")</f>
        <v>Flickr</v>
      </c>
      <c r="E380" s="6" t="str">
        <f>IFERROR(__xludf.DUMMYFUNCTION("""COMPUTED_VALUE"""),"https://www.flickr.com/photos/us_mission_uganda")</f>
        <v>https://www.flickr.com/photos/us_mission_uganda</v>
      </c>
    </row>
    <row r="381">
      <c r="A381" s="4" t="str">
        <f>IFERROR(__xludf.DUMMYFUNCTION("""COMPUTED_VALUE"""),"AF")</f>
        <v>AF</v>
      </c>
      <c r="B381" s="4" t="str">
        <f>IFERROR(__xludf.DUMMYFUNCTION("""COMPUTED_VALUE"""),"United States")</f>
        <v>United States</v>
      </c>
      <c r="C381" s="4" t="str">
        <f>IFERROR(__xludf.DUMMYFUNCTION("""COMPUTED_VALUE"""),"Assistant Secretary African Affairs")</f>
        <v>Assistant Secretary African Affairs</v>
      </c>
      <c r="D381" s="4" t="str">
        <f>IFERROR(__xludf.DUMMYFUNCTION("""COMPUTED_VALUE"""),"X")</f>
        <v>X</v>
      </c>
      <c r="E381" s="6" t="str">
        <f>IFERROR(__xludf.DUMMYFUNCTION("""COMPUTED_VALUE"""),"https://x.com/AsstSecStateAF")</f>
        <v>https://x.com/AsstSecStateAF</v>
      </c>
    </row>
    <row r="382">
      <c r="A382" s="4" t="str">
        <f>IFERROR(__xludf.DUMMYFUNCTION("""COMPUTED_VALUE"""),"AF")</f>
        <v>AF</v>
      </c>
      <c r="B382" s="4" t="str">
        <f>IFERROR(__xludf.DUMMYFUNCTION("""COMPUTED_VALUE"""),"United States")</f>
        <v>United States</v>
      </c>
      <c r="C382" s="4" t="str">
        <f>IFERROR(__xludf.DUMMYFUNCTION("""COMPUTED_VALUE"""),"Bureau of African Affairs")</f>
        <v>Bureau of African Affairs</v>
      </c>
      <c r="D382" s="4" t="str">
        <f>IFERROR(__xludf.DUMMYFUNCTION("""COMPUTED_VALUE"""),"Facebook")</f>
        <v>Facebook</v>
      </c>
      <c r="E382" s="6" t="str">
        <f>IFERROR(__xludf.DUMMYFUNCTION("""COMPUTED_VALUE"""),"https://www.facebook.com/DOSAfricanAffairs/")</f>
        <v>https://www.facebook.com/DOSAfricanAffairs/</v>
      </c>
    </row>
    <row r="383">
      <c r="A383" s="59" t="str">
        <f>IFERROR(__xludf.DUMMYFUNCTION("""COMPUTED_VALUE"""),"AF")</f>
        <v>AF</v>
      </c>
      <c r="B383" s="59" t="str">
        <f>IFERROR(__xludf.DUMMYFUNCTION("""COMPUTED_VALUE"""),"United States")</f>
        <v>United States</v>
      </c>
      <c r="C383" s="59" t="str">
        <f>IFERROR(__xludf.DUMMYFUNCTION("""COMPUTED_VALUE"""),"U.S. Senior Advisor for Africa")</f>
        <v>U.S. Senior Advisor for Africa</v>
      </c>
      <c r="D383" s="59" t="str">
        <f>IFERROR(__xludf.DUMMYFUNCTION("""COMPUTED_VALUE"""),"X")</f>
        <v>X</v>
      </c>
      <c r="E383" s="60" t="str">
        <f>IFERROR(__xludf.DUMMYFUNCTION("""COMPUTED_VALUE"""),"https://x.com/US_SrAdvisorAF")</f>
        <v>https://x.com/US_SrAdvisorAF</v>
      </c>
    </row>
    <row r="384">
      <c r="A384" s="59" t="str">
        <f>IFERROR(__xludf.DUMMYFUNCTION("""COMPUTED_VALUE"""),"AF")</f>
        <v>AF</v>
      </c>
      <c r="B384" s="59" t="str">
        <f>IFERROR(__xludf.DUMMYFUNCTION("""COMPUTED_VALUE"""),"United States")</f>
        <v>United States</v>
      </c>
      <c r="C384" s="59" t="str">
        <f>IFERROR(__xludf.DUMMYFUNCTION("""COMPUTED_VALUE"""),"Young African Leaders Initiative")</f>
        <v>Young African Leaders Initiative</v>
      </c>
      <c r="D384" s="59" t="str">
        <f>IFERROR(__xludf.DUMMYFUNCTION("""COMPUTED_VALUE"""),"Facebook")</f>
        <v>Facebook</v>
      </c>
      <c r="E384" s="60" t="str">
        <f>IFERROR(__xludf.DUMMYFUNCTION("""COMPUTED_VALUE"""),"https://www.facebook.com/YALINetwork/")</f>
        <v>https://www.facebook.com/YALINetwork/</v>
      </c>
    </row>
    <row r="385">
      <c r="A385" s="59" t="str">
        <f>IFERROR(__xludf.DUMMYFUNCTION("""COMPUTED_VALUE"""),"AF")</f>
        <v>AF</v>
      </c>
      <c r="B385" s="59" t="str">
        <f>IFERROR(__xludf.DUMMYFUNCTION("""COMPUTED_VALUE"""),"United States")</f>
        <v>United States</v>
      </c>
      <c r="C385" s="59" t="str">
        <f>IFERROR(__xludf.DUMMYFUNCTION("""COMPUTED_VALUE"""),"Young African Leaders Initiative")</f>
        <v>Young African Leaders Initiative</v>
      </c>
      <c r="D385" s="59" t="str">
        <f>IFERROR(__xludf.DUMMYFUNCTION("""COMPUTED_VALUE"""),"X")</f>
        <v>X</v>
      </c>
      <c r="E385" s="60" t="str">
        <f>IFERROR(__xludf.DUMMYFUNCTION("""COMPUTED_VALUE"""),"https://x.com/YALINetwork")</f>
        <v>https://x.com/YALINetwork</v>
      </c>
    </row>
    <row r="386">
      <c r="A386" s="59" t="str">
        <f>IFERROR(__xludf.DUMMYFUNCTION("""COMPUTED_VALUE"""),"AF")</f>
        <v>AF</v>
      </c>
      <c r="B386" s="59" t="str">
        <f>IFERROR(__xludf.DUMMYFUNCTION("""COMPUTED_VALUE"""),"United States")</f>
        <v>United States</v>
      </c>
      <c r="C386" s="59" t="str">
        <f>IFERROR(__xludf.DUMMYFUNCTION("""COMPUTED_VALUE"""),"Young African Leaders Initiative")</f>
        <v>Young African Leaders Initiative</v>
      </c>
      <c r="D386" s="59" t="str">
        <f>IFERROR(__xludf.DUMMYFUNCTION("""COMPUTED_VALUE"""),"YouTube")</f>
        <v>YouTube</v>
      </c>
      <c r="E386" s="60" t="str">
        <f>IFERROR(__xludf.DUMMYFUNCTION("""COMPUTED_VALUE"""),"https://www.youtube.com/@YALINetwork")</f>
        <v>https://www.youtube.com/@YALINetwork</v>
      </c>
    </row>
    <row r="387">
      <c r="A387" s="59" t="str">
        <f>IFERROR(__xludf.DUMMYFUNCTION("""COMPUTED_VALUE"""),"AF")</f>
        <v>AF</v>
      </c>
      <c r="B387" s="59" t="str">
        <f>IFERROR(__xludf.DUMMYFUNCTION("""COMPUTED_VALUE"""),"United States")</f>
        <v>United States</v>
      </c>
      <c r="C387" s="59" t="str">
        <f>IFERROR(__xludf.DUMMYFUNCTION("""COMPUTED_VALUE"""),"Young African Leaders Initiative")</f>
        <v>Young African Leaders Initiative</v>
      </c>
      <c r="D387" s="59" t="str">
        <f>IFERROR(__xludf.DUMMYFUNCTION("""COMPUTED_VALUE"""),"LinkedIn")</f>
        <v>LinkedIn</v>
      </c>
      <c r="E387" s="60" t="str">
        <f>IFERROR(__xludf.DUMMYFUNCTION("""COMPUTED_VALUE"""),"https://www.linkedin.com/groups/7425359/")</f>
        <v>https://www.linkedin.com/groups/7425359/</v>
      </c>
    </row>
    <row r="388">
      <c r="A388" s="59" t="str">
        <f>IFERROR(__xludf.DUMMYFUNCTION("""COMPUTED_VALUE"""),"AF")</f>
        <v>AF</v>
      </c>
      <c r="B388" s="59" t="str">
        <f>IFERROR(__xludf.DUMMYFUNCTION("""COMPUTED_VALUE"""),"Zambia")</f>
        <v>Zambia</v>
      </c>
      <c r="C388" s="59" t="str">
        <f>IFERROR(__xludf.DUMMYFUNCTION("""COMPUTED_VALUE"""),"U.S. Embassy Lusaka")</f>
        <v>U.S. Embassy Lusaka</v>
      </c>
      <c r="D388" s="59" t="str">
        <f>IFERROR(__xludf.DUMMYFUNCTION("""COMPUTED_VALUE"""),"Facebook")</f>
        <v>Facebook</v>
      </c>
      <c r="E388" s="60" t="str">
        <f>IFERROR(__xludf.DUMMYFUNCTION("""COMPUTED_VALUE"""),"https://www.facebook.com/usembassyzambia/")</f>
        <v>https://www.facebook.com/usembassyzambia/</v>
      </c>
    </row>
    <row r="389">
      <c r="A389" s="59" t="str">
        <f>IFERROR(__xludf.DUMMYFUNCTION("""COMPUTED_VALUE"""),"AF")</f>
        <v>AF</v>
      </c>
      <c r="B389" s="59" t="str">
        <f>IFERROR(__xludf.DUMMYFUNCTION("""COMPUTED_VALUE"""),"Zambia")</f>
        <v>Zambia</v>
      </c>
      <c r="C389" s="59" t="str">
        <f>IFERROR(__xludf.DUMMYFUNCTION("""COMPUTED_VALUE"""),"U.S. Embassy Lusaka")</f>
        <v>U.S. Embassy Lusaka</v>
      </c>
      <c r="D389" s="59" t="str">
        <f>IFERROR(__xludf.DUMMYFUNCTION("""COMPUTED_VALUE"""),"X")</f>
        <v>X</v>
      </c>
      <c r="E389" s="60" t="str">
        <f>IFERROR(__xludf.DUMMYFUNCTION("""COMPUTED_VALUE"""),"https://x.com/usembassyzambia")</f>
        <v>https://x.com/usembassyzambia</v>
      </c>
    </row>
    <row r="390">
      <c r="A390" s="59" t="str">
        <f>IFERROR(__xludf.DUMMYFUNCTION("""COMPUTED_VALUE"""),"AF")</f>
        <v>AF</v>
      </c>
      <c r="B390" s="59" t="str">
        <f>IFERROR(__xludf.DUMMYFUNCTION("""COMPUTED_VALUE"""),"Zambia")</f>
        <v>Zambia</v>
      </c>
      <c r="C390" s="59" t="str">
        <f>IFERROR(__xludf.DUMMYFUNCTION("""COMPUTED_VALUE"""),"U.S. Embassy Lusaka")</f>
        <v>U.S. Embassy Lusaka</v>
      </c>
      <c r="D390" s="59" t="str">
        <f>IFERROR(__xludf.DUMMYFUNCTION("""COMPUTED_VALUE"""),"YouTube")</f>
        <v>YouTube</v>
      </c>
      <c r="E390" s="60" t="str">
        <f>IFERROR(__xludf.DUMMYFUNCTION("""COMPUTED_VALUE"""),"https://www.youtube.com/@usembassyzambia")</f>
        <v>https://www.youtube.com/@usembassyzambia</v>
      </c>
    </row>
    <row r="391">
      <c r="A391" s="59" t="str">
        <f>IFERROR(__xludf.DUMMYFUNCTION("""COMPUTED_VALUE"""),"AF")</f>
        <v>AF</v>
      </c>
      <c r="B391" s="59" t="str">
        <f>IFERROR(__xludf.DUMMYFUNCTION("""COMPUTED_VALUE"""),"Zimbabwe")</f>
        <v>Zimbabwe</v>
      </c>
      <c r="C391" s="59" t="str">
        <f>IFERROR(__xludf.DUMMYFUNCTION("""COMPUTED_VALUE"""),"U.S. Embassy Harare")</f>
        <v>U.S. Embassy Harare</v>
      </c>
      <c r="D391" s="59" t="str">
        <f>IFERROR(__xludf.DUMMYFUNCTION("""COMPUTED_VALUE"""),"Facebook")</f>
        <v>Facebook</v>
      </c>
      <c r="E391" s="60" t="str">
        <f>IFERROR(__xludf.DUMMYFUNCTION("""COMPUTED_VALUE"""),"https://www.facebook.com/usembassyzimbabwe/")</f>
        <v>https://www.facebook.com/usembassyzimbabwe/</v>
      </c>
    </row>
    <row r="392">
      <c r="A392" s="59" t="str">
        <f>IFERROR(__xludf.DUMMYFUNCTION("""COMPUTED_VALUE"""),"AF")</f>
        <v>AF</v>
      </c>
      <c r="B392" s="59" t="str">
        <f>IFERROR(__xludf.DUMMYFUNCTION("""COMPUTED_VALUE"""),"Zimbabwe")</f>
        <v>Zimbabwe</v>
      </c>
      <c r="C392" s="59" t="str">
        <f>IFERROR(__xludf.DUMMYFUNCTION("""COMPUTED_VALUE"""),"U.S. Embassy Harare")</f>
        <v>U.S. Embassy Harare</v>
      </c>
      <c r="D392" s="59" t="str">
        <f>IFERROR(__xludf.DUMMYFUNCTION("""COMPUTED_VALUE"""),"X")</f>
        <v>X</v>
      </c>
      <c r="E392" s="60" t="str">
        <f>IFERROR(__xludf.DUMMYFUNCTION("""COMPUTED_VALUE"""),"https://x.com/USEmbZim")</f>
        <v>https://x.com/USEmbZim</v>
      </c>
    </row>
    <row r="393">
      <c r="A393" s="59" t="str">
        <f>IFERROR(__xludf.DUMMYFUNCTION("""COMPUTED_VALUE"""),"AF")</f>
        <v>AF</v>
      </c>
      <c r="B393" s="59" t="str">
        <f>IFERROR(__xludf.DUMMYFUNCTION("""COMPUTED_VALUE"""),"Zimbabwe")</f>
        <v>Zimbabwe</v>
      </c>
      <c r="C393" s="59" t="str">
        <f>IFERROR(__xludf.DUMMYFUNCTION("""COMPUTED_VALUE"""),"U.S. Embassy Harare")</f>
        <v>U.S. Embassy Harare</v>
      </c>
      <c r="D393" s="59" t="str">
        <f>IFERROR(__xludf.DUMMYFUNCTION("""COMPUTED_VALUE"""),"YouTube")</f>
        <v>YouTube</v>
      </c>
      <c r="E393" s="60" t="str">
        <f>IFERROR(__xludf.DUMMYFUNCTION("""COMPUTED_VALUE"""),"https://www.youtube.com/@usembassyzimbabwe")</f>
        <v>https://www.youtube.com/@usembassyzimbabwe</v>
      </c>
    </row>
    <row r="394">
      <c r="A394" s="59" t="str">
        <f>IFERROR(__xludf.DUMMYFUNCTION("""COMPUTED_VALUE"""),"EAP")</f>
        <v>EAP</v>
      </c>
      <c r="B394" s="59" t="str">
        <f>IFERROR(__xludf.DUMMYFUNCTION("""COMPUTED_VALUE"""),"Australia")</f>
        <v>Australia</v>
      </c>
      <c r="C394" s="59" t="str">
        <f>IFERROR(__xludf.DUMMYFUNCTION("""COMPUTED_VALUE"""),"U.S. Consulate General Melbourne")</f>
        <v>U.S. Consulate General Melbourne</v>
      </c>
      <c r="D394" s="59" t="str">
        <f>IFERROR(__xludf.DUMMYFUNCTION("""COMPUTED_VALUE"""),"Facebook")</f>
        <v>Facebook</v>
      </c>
      <c r="E394" s="60" t="str">
        <f>IFERROR(__xludf.DUMMYFUNCTION("""COMPUTED_VALUE"""),"https://www.facebook.com/USConsulateMelbourne/")</f>
        <v>https://www.facebook.com/USConsulateMelbourne/</v>
      </c>
    </row>
    <row r="395">
      <c r="A395" s="59" t="str">
        <f>IFERROR(__xludf.DUMMYFUNCTION("""COMPUTED_VALUE"""),"EAP")</f>
        <v>EAP</v>
      </c>
      <c r="B395" s="59" t="str">
        <f>IFERROR(__xludf.DUMMYFUNCTION("""COMPUTED_VALUE"""),"Australia")</f>
        <v>Australia</v>
      </c>
      <c r="C395" s="59" t="str">
        <f>IFERROR(__xludf.DUMMYFUNCTION("""COMPUTED_VALUE"""),"U.S. Consulate General Melbourne")</f>
        <v>U.S. Consulate General Melbourne</v>
      </c>
      <c r="D395" s="59" t="str">
        <f>IFERROR(__xludf.DUMMYFUNCTION("""COMPUTED_VALUE"""),"Instagram")</f>
        <v>Instagram</v>
      </c>
      <c r="E395" s="60" t="str">
        <f>IFERROR(__xludf.DUMMYFUNCTION("""COMPUTED_VALUE"""),"https://www.instagram.com/usconsulatemelbourne/")</f>
        <v>https://www.instagram.com/usconsulatemelbourne/</v>
      </c>
    </row>
    <row r="396">
      <c r="A396" s="59" t="str">
        <f>IFERROR(__xludf.DUMMYFUNCTION("""COMPUTED_VALUE"""),"EAP")</f>
        <v>EAP</v>
      </c>
      <c r="B396" s="59" t="str">
        <f>IFERROR(__xludf.DUMMYFUNCTION("""COMPUTED_VALUE"""),"Australia")</f>
        <v>Australia</v>
      </c>
      <c r="C396" s="59" t="str">
        <f>IFERROR(__xludf.DUMMYFUNCTION("""COMPUTED_VALUE"""),"U.S. Consulate General Perth")</f>
        <v>U.S. Consulate General Perth</v>
      </c>
      <c r="D396" s="59" t="str">
        <f>IFERROR(__xludf.DUMMYFUNCTION("""COMPUTED_VALUE"""),"Facebook")</f>
        <v>Facebook</v>
      </c>
      <c r="E396" s="60" t="str">
        <f>IFERROR(__xludf.DUMMYFUNCTION("""COMPUTED_VALUE"""),"https://www.facebook.com/USConsulatePerth/")</f>
        <v>https://www.facebook.com/USConsulatePerth/</v>
      </c>
    </row>
    <row r="397">
      <c r="A397" s="59" t="str">
        <f>IFERROR(__xludf.DUMMYFUNCTION("""COMPUTED_VALUE"""),"EAP")</f>
        <v>EAP</v>
      </c>
      <c r="B397" s="59" t="str">
        <f>IFERROR(__xludf.DUMMYFUNCTION("""COMPUTED_VALUE"""),"Australia")</f>
        <v>Australia</v>
      </c>
      <c r="C397" s="59" t="str">
        <f>IFERROR(__xludf.DUMMYFUNCTION("""COMPUTED_VALUE"""),"U.S. Consulate General Perth")</f>
        <v>U.S. Consulate General Perth</v>
      </c>
      <c r="D397" s="59" t="str">
        <f>IFERROR(__xludf.DUMMYFUNCTION("""COMPUTED_VALUE"""),"Instagram")</f>
        <v>Instagram</v>
      </c>
      <c r="E397" s="60" t="str">
        <f>IFERROR(__xludf.DUMMYFUNCTION("""COMPUTED_VALUE"""),"https://www.instagram.com/usconsulateperth/")</f>
        <v>https://www.instagram.com/usconsulateperth/</v>
      </c>
    </row>
    <row r="398">
      <c r="A398" s="59" t="str">
        <f>IFERROR(__xludf.DUMMYFUNCTION("""COMPUTED_VALUE"""),"EAP")</f>
        <v>EAP</v>
      </c>
      <c r="B398" s="59" t="str">
        <f>IFERROR(__xludf.DUMMYFUNCTION("""COMPUTED_VALUE"""),"Australia")</f>
        <v>Australia</v>
      </c>
      <c r="C398" s="59" t="str">
        <f>IFERROR(__xludf.DUMMYFUNCTION("""COMPUTED_VALUE"""),"U.S. Consulate General Sydney")</f>
        <v>U.S. Consulate General Sydney</v>
      </c>
      <c r="D398" s="59" t="str">
        <f>IFERROR(__xludf.DUMMYFUNCTION("""COMPUTED_VALUE"""),"Facebook")</f>
        <v>Facebook</v>
      </c>
      <c r="E398" s="60" t="str">
        <f>IFERROR(__xludf.DUMMYFUNCTION("""COMPUTED_VALUE"""),"https://www.facebook.com/USConsulateSydney/")</f>
        <v>https://www.facebook.com/USConsulateSydney/</v>
      </c>
    </row>
    <row r="399">
      <c r="A399" s="59" t="str">
        <f>IFERROR(__xludf.DUMMYFUNCTION("""COMPUTED_VALUE"""),"EAP")</f>
        <v>EAP</v>
      </c>
      <c r="B399" s="59" t="str">
        <f>IFERROR(__xludf.DUMMYFUNCTION("""COMPUTED_VALUE"""),"Australia")</f>
        <v>Australia</v>
      </c>
      <c r="C399" s="59" t="str">
        <f>IFERROR(__xludf.DUMMYFUNCTION("""COMPUTED_VALUE"""),"U.S. Consulate General Sydney")</f>
        <v>U.S. Consulate General Sydney</v>
      </c>
      <c r="D399" s="59" t="str">
        <f>IFERROR(__xludf.DUMMYFUNCTION("""COMPUTED_VALUE"""),"Instagram")</f>
        <v>Instagram</v>
      </c>
      <c r="E399" s="60" t="str">
        <f>IFERROR(__xludf.DUMMYFUNCTION("""COMPUTED_VALUE"""),"https://www.instagram.com/usconsulatesydney/")</f>
        <v>https://www.instagram.com/usconsulatesydney/</v>
      </c>
    </row>
    <row r="400">
      <c r="A400" s="59" t="str">
        <f>IFERROR(__xludf.DUMMYFUNCTION("""COMPUTED_VALUE"""),"EAP")</f>
        <v>EAP</v>
      </c>
      <c r="B400" s="59" t="str">
        <f>IFERROR(__xludf.DUMMYFUNCTION("""COMPUTED_VALUE"""),"Australia")</f>
        <v>Australia</v>
      </c>
      <c r="C400" s="59" t="str">
        <f>IFERROR(__xludf.DUMMYFUNCTION("""COMPUTED_VALUE"""),"U.S. Embassy Canberra")</f>
        <v>U.S. Embassy Canberra</v>
      </c>
      <c r="D400" s="59" t="str">
        <f>IFERROR(__xludf.DUMMYFUNCTION("""COMPUTED_VALUE"""),"Facebook")</f>
        <v>Facebook</v>
      </c>
      <c r="E400" s="60" t="str">
        <f>IFERROR(__xludf.DUMMYFUNCTION("""COMPUTED_VALUE"""),"https://www.facebook.com/USEmbassyAustralia/")</f>
        <v>https://www.facebook.com/USEmbassyAustralia/</v>
      </c>
    </row>
    <row r="401">
      <c r="A401" s="59" t="str">
        <f>IFERROR(__xludf.DUMMYFUNCTION("""COMPUTED_VALUE"""),"EAP")</f>
        <v>EAP</v>
      </c>
      <c r="B401" s="59" t="str">
        <f>IFERROR(__xludf.DUMMYFUNCTION("""COMPUTED_VALUE"""),"Australia")</f>
        <v>Australia</v>
      </c>
      <c r="C401" s="59" t="str">
        <f>IFERROR(__xludf.DUMMYFUNCTION("""COMPUTED_VALUE"""),"U.S. Embassy Canberra")</f>
        <v>U.S. Embassy Canberra</v>
      </c>
      <c r="D401" s="59" t="str">
        <f>IFERROR(__xludf.DUMMYFUNCTION("""COMPUTED_VALUE"""),"Flickr")</f>
        <v>Flickr</v>
      </c>
      <c r="E401" s="60" t="str">
        <f>IFERROR(__xludf.DUMMYFUNCTION("""COMPUTED_VALUE"""),"https://www.flickr.com/photos/usembassyaustralia/")</f>
        <v>https://www.flickr.com/photos/usembassyaustralia/</v>
      </c>
    </row>
    <row r="402">
      <c r="A402" s="59" t="str">
        <f>IFERROR(__xludf.DUMMYFUNCTION("""COMPUTED_VALUE"""),"EAP")</f>
        <v>EAP</v>
      </c>
      <c r="B402" s="59" t="str">
        <f>IFERROR(__xludf.DUMMYFUNCTION("""COMPUTED_VALUE"""),"Australia")</f>
        <v>Australia</v>
      </c>
      <c r="C402" s="59" t="str">
        <f>IFERROR(__xludf.DUMMYFUNCTION("""COMPUTED_VALUE"""),"U.S. Embassy Canberra")</f>
        <v>U.S. Embassy Canberra</v>
      </c>
      <c r="D402" s="59" t="str">
        <f>IFERROR(__xludf.DUMMYFUNCTION("""COMPUTED_VALUE"""),"Instagram")</f>
        <v>Instagram</v>
      </c>
      <c r="E402" s="60" t="str">
        <f>IFERROR(__xludf.DUMMYFUNCTION("""COMPUTED_VALUE"""),"https://www.instagram.com/usembassyaustralia/")</f>
        <v>https://www.instagram.com/usembassyaustralia/</v>
      </c>
    </row>
    <row r="403">
      <c r="A403" s="59" t="str">
        <f>IFERROR(__xludf.DUMMYFUNCTION("""COMPUTED_VALUE"""),"EAP")</f>
        <v>EAP</v>
      </c>
      <c r="B403" s="59" t="str">
        <f>IFERROR(__xludf.DUMMYFUNCTION("""COMPUTED_VALUE"""),"Australia")</f>
        <v>Australia</v>
      </c>
      <c r="C403" s="59" t="str">
        <f>IFERROR(__xludf.DUMMYFUNCTION("""COMPUTED_VALUE"""),"U.S. Embassy Canberra")</f>
        <v>U.S. Embassy Canberra</v>
      </c>
      <c r="D403" s="59" t="str">
        <f>IFERROR(__xludf.DUMMYFUNCTION("""COMPUTED_VALUE"""),"LinkedIn")</f>
        <v>LinkedIn</v>
      </c>
      <c r="E403" s="60" t="str">
        <f>IFERROR(__xludf.DUMMYFUNCTION("""COMPUTED_VALUE"""),"https://www.linkedin.com/company/us-embassy-australia/")</f>
        <v>https://www.linkedin.com/company/us-embassy-australia/</v>
      </c>
    </row>
    <row r="404">
      <c r="A404" s="59" t="str">
        <f>IFERROR(__xludf.DUMMYFUNCTION("""COMPUTED_VALUE"""),"EAP")</f>
        <v>EAP</v>
      </c>
      <c r="B404" s="59" t="str">
        <f>IFERROR(__xludf.DUMMYFUNCTION("""COMPUTED_VALUE"""),"Australia")</f>
        <v>Australia</v>
      </c>
      <c r="C404" s="59" t="str">
        <f>IFERROR(__xludf.DUMMYFUNCTION("""COMPUTED_VALUE"""),"U.S. Embassy Canberra")</f>
        <v>U.S. Embassy Canberra</v>
      </c>
      <c r="D404" s="59" t="str">
        <f>IFERROR(__xludf.DUMMYFUNCTION("""COMPUTED_VALUE"""),"X")</f>
        <v>X</v>
      </c>
      <c r="E404" s="60" t="str">
        <f>IFERROR(__xludf.DUMMYFUNCTION("""COMPUTED_VALUE"""),"https://x.com/USEmbAustralia")</f>
        <v>https://x.com/USEmbAustralia</v>
      </c>
    </row>
    <row r="405">
      <c r="A405" s="4" t="str">
        <f>IFERROR(__xludf.DUMMYFUNCTION("""COMPUTED_VALUE"""),"EAP")</f>
        <v>EAP</v>
      </c>
      <c r="B405" s="4" t="str">
        <f>IFERROR(__xludf.DUMMYFUNCTION("""COMPUTED_VALUE"""),"Australia")</f>
        <v>Australia</v>
      </c>
      <c r="C405" s="4" t="str">
        <f>IFERROR(__xludf.DUMMYFUNCTION("""COMPUTED_VALUE"""),"U.S. Embassy Canberra")</f>
        <v>U.S. Embassy Canberra</v>
      </c>
      <c r="D405" s="4" t="str">
        <f>IFERROR(__xludf.DUMMYFUNCTION("""COMPUTED_VALUE"""),"YouTube")</f>
        <v>YouTube</v>
      </c>
      <c r="E405" s="6" t="str">
        <f>IFERROR(__xludf.DUMMYFUNCTION("""COMPUTED_VALUE"""),"youtube.com/user/USEmbassyCanberra")</f>
        <v>youtube.com/user/USEmbassyCanberra</v>
      </c>
    </row>
    <row r="406">
      <c r="A406" s="59" t="str">
        <f>IFERROR(__xludf.DUMMYFUNCTION("""COMPUTED_VALUE"""),"EAP")</f>
        <v>EAP</v>
      </c>
      <c r="B406" s="59" t="str">
        <f>IFERROR(__xludf.DUMMYFUNCTION("""COMPUTED_VALUE"""),"Brunei")</f>
        <v>Brunei</v>
      </c>
      <c r="C406" s="59" t="str">
        <f>IFERROR(__xludf.DUMMYFUNCTION("""COMPUTED_VALUE"""),"U.S. Embassy Bandar Seri Begawan")</f>
        <v>U.S. Embassy Bandar Seri Begawan</v>
      </c>
      <c r="D406" s="59" t="str">
        <f>IFERROR(__xludf.DUMMYFUNCTION("""COMPUTED_VALUE"""),"Facebook")</f>
        <v>Facebook</v>
      </c>
      <c r="E406" s="60" t="str">
        <f>IFERROR(__xludf.DUMMYFUNCTION("""COMPUTED_VALUE"""),"https://www.facebook.com/usembassybsb/")</f>
        <v>https://www.facebook.com/usembassybsb/</v>
      </c>
    </row>
    <row r="407">
      <c r="A407" s="59" t="str">
        <f>IFERROR(__xludf.DUMMYFUNCTION("""COMPUTED_VALUE"""),"EAP")</f>
        <v>EAP</v>
      </c>
      <c r="B407" s="59" t="str">
        <f>IFERROR(__xludf.DUMMYFUNCTION("""COMPUTED_VALUE"""),"Brunei")</f>
        <v>Brunei</v>
      </c>
      <c r="C407" s="59" t="str">
        <f>IFERROR(__xludf.DUMMYFUNCTION("""COMPUTED_VALUE"""),"U.S. Embassy Bandar Seri Begawan")</f>
        <v>U.S. Embassy Bandar Seri Begawan</v>
      </c>
      <c r="D407" s="59" t="str">
        <f>IFERROR(__xludf.DUMMYFUNCTION("""COMPUTED_VALUE"""),"Instagram")</f>
        <v>Instagram</v>
      </c>
      <c r="E407" s="60" t="str">
        <f>IFERROR(__xludf.DUMMYFUNCTION("""COMPUTED_VALUE"""),"https://www.instagram.com/usembassybsb")</f>
        <v>https://www.instagram.com/usembassybsb</v>
      </c>
    </row>
    <row r="408">
      <c r="A408" s="59" t="str">
        <f>IFERROR(__xludf.DUMMYFUNCTION("""COMPUTED_VALUE"""),"EAP")</f>
        <v>EAP</v>
      </c>
      <c r="B408" s="59" t="str">
        <f>IFERROR(__xludf.DUMMYFUNCTION("""COMPUTED_VALUE"""),"Brunei")</f>
        <v>Brunei</v>
      </c>
      <c r="C408" s="59" t="str">
        <f>IFERROR(__xludf.DUMMYFUNCTION("""COMPUTED_VALUE"""),"U.S. Embassy Bandar Seri Begawan")</f>
        <v>U.S. Embassy Bandar Seri Begawan</v>
      </c>
      <c r="D408" s="59" t="str">
        <f>IFERROR(__xludf.DUMMYFUNCTION("""COMPUTED_VALUE"""),"X")</f>
        <v>X</v>
      </c>
      <c r="E408" s="60" t="str">
        <f>IFERROR(__xludf.DUMMYFUNCTION("""COMPUTED_VALUE"""),"https://x.com/USEmbassyBSB")</f>
        <v>https://x.com/USEmbassyBSB</v>
      </c>
    </row>
    <row r="409">
      <c r="A409" s="59" t="str">
        <f>IFERROR(__xludf.DUMMYFUNCTION("""COMPUTED_VALUE"""),"EAP")</f>
        <v>EAP</v>
      </c>
      <c r="B409" s="59" t="str">
        <f>IFERROR(__xludf.DUMMYFUNCTION("""COMPUTED_VALUE"""),"Brunei")</f>
        <v>Brunei</v>
      </c>
      <c r="C409" s="59" t="str">
        <f>IFERROR(__xludf.DUMMYFUNCTION("""COMPUTED_VALUE"""),"U.S. Embassy Bandar Seri Begawan")</f>
        <v>U.S. Embassy Bandar Seri Begawan</v>
      </c>
      <c r="D409" s="59" t="str">
        <f>IFERROR(__xludf.DUMMYFUNCTION("""COMPUTED_VALUE"""),"YouTube")</f>
        <v>YouTube</v>
      </c>
      <c r="E409" s="60" t="str">
        <f>IFERROR(__xludf.DUMMYFUNCTION("""COMPUTED_VALUE"""),"https://youtube.com/@usembassybsb")</f>
        <v>https://youtube.com/@usembassybsb</v>
      </c>
    </row>
    <row r="410">
      <c r="A410" s="59" t="str">
        <f>IFERROR(__xludf.DUMMYFUNCTION("""COMPUTED_VALUE"""),"EAP")</f>
        <v>EAP</v>
      </c>
      <c r="B410" s="59" t="str">
        <f>IFERROR(__xludf.DUMMYFUNCTION("""COMPUTED_VALUE"""),"Burma")</f>
        <v>Burma</v>
      </c>
      <c r="C410" s="59" t="str">
        <f>IFERROR(__xludf.DUMMYFUNCTION("""COMPUTED_VALUE"""),"U.S. Embassy Rangoon")</f>
        <v>U.S. Embassy Rangoon</v>
      </c>
      <c r="D410" s="59" t="str">
        <f>IFERROR(__xludf.DUMMYFUNCTION("""COMPUTED_VALUE"""),"Facebook")</f>
        <v>Facebook</v>
      </c>
      <c r="E410" s="60" t="str">
        <f>IFERROR(__xludf.DUMMYFUNCTION("""COMPUTED_VALUE"""),"https://www.facebook.com/usembassy.rangoon/")</f>
        <v>https://www.facebook.com/usembassy.rangoon/</v>
      </c>
    </row>
    <row r="411">
      <c r="A411" s="59" t="str">
        <f>IFERROR(__xludf.DUMMYFUNCTION("""COMPUTED_VALUE"""),"EAP")</f>
        <v>EAP</v>
      </c>
      <c r="B411" s="59" t="str">
        <f>IFERROR(__xludf.DUMMYFUNCTION("""COMPUTED_VALUE"""),"Burma")</f>
        <v>Burma</v>
      </c>
      <c r="C411" s="59" t="str">
        <f>IFERROR(__xludf.DUMMYFUNCTION("""COMPUTED_VALUE"""),"U.S. Embassy Rangoon")</f>
        <v>U.S. Embassy Rangoon</v>
      </c>
      <c r="D411" s="59" t="str">
        <f>IFERROR(__xludf.DUMMYFUNCTION("""COMPUTED_VALUE"""),"Instagram")</f>
        <v>Instagram</v>
      </c>
      <c r="E411" s="60" t="str">
        <f>IFERROR(__xludf.DUMMYFUNCTION("""COMPUTED_VALUE"""),"https://www.instagram.com/usembassymm")</f>
        <v>https://www.instagram.com/usembassymm</v>
      </c>
    </row>
    <row r="412">
      <c r="A412" s="59" t="str">
        <f>IFERROR(__xludf.DUMMYFUNCTION("""COMPUTED_VALUE"""),"EAP")</f>
        <v>EAP</v>
      </c>
      <c r="B412" s="59" t="str">
        <f>IFERROR(__xludf.DUMMYFUNCTION("""COMPUTED_VALUE"""),"Burma")</f>
        <v>Burma</v>
      </c>
      <c r="C412" s="59" t="str">
        <f>IFERROR(__xludf.DUMMYFUNCTION("""COMPUTED_VALUE"""),"U.S. Embassy Rangoon")</f>
        <v>U.S. Embassy Rangoon</v>
      </c>
      <c r="D412" s="59" t="str">
        <f>IFERROR(__xludf.DUMMYFUNCTION("""COMPUTED_VALUE"""),"LinkedIn")</f>
        <v>LinkedIn</v>
      </c>
      <c r="E412" s="60" t="str">
        <f>IFERROR(__xludf.DUMMYFUNCTION("""COMPUTED_VALUE"""),"https://www.linkedin.com/company/u-s-embassy-myanmar/about/")</f>
        <v>https://www.linkedin.com/company/u-s-embassy-myanmar/about/</v>
      </c>
    </row>
    <row r="413">
      <c r="A413" s="59" t="str">
        <f>IFERROR(__xludf.DUMMYFUNCTION("""COMPUTED_VALUE"""),"EAP")</f>
        <v>EAP</v>
      </c>
      <c r="B413" s="59" t="str">
        <f>IFERROR(__xludf.DUMMYFUNCTION("""COMPUTED_VALUE"""),"Burma")</f>
        <v>Burma</v>
      </c>
      <c r="C413" s="59" t="str">
        <f>IFERROR(__xludf.DUMMYFUNCTION("""COMPUTED_VALUE"""),"U.S. Embassy Rangoon")</f>
        <v>U.S. Embassy Rangoon</v>
      </c>
      <c r="D413" s="59" t="str">
        <f>IFERROR(__xludf.DUMMYFUNCTION("""COMPUTED_VALUE"""),"X")</f>
        <v>X</v>
      </c>
      <c r="E413" s="60" t="str">
        <f>IFERROR(__xludf.DUMMYFUNCTION("""COMPUTED_VALUE"""),"https://x.com/USEmbassyBurma")</f>
        <v>https://x.com/USEmbassyBurma</v>
      </c>
    </row>
    <row r="414">
      <c r="A414" s="59" t="str">
        <f>IFERROR(__xludf.DUMMYFUNCTION("""COMPUTED_VALUE"""),"EAP")</f>
        <v>EAP</v>
      </c>
      <c r="B414" s="59" t="str">
        <f>IFERROR(__xludf.DUMMYFUNCTION("""COMPUTED_VALUE"""),"Burma")</f>
        <v>Burma</v>
      </c>
      <c r="C414" s="59" t="str">
        <f>IFERROR(__xludf.DUMMYFUNCTION("""COMPUTED_VALUE"""),"American Citizen Services Rangoon")</f>
        <v>American Citizen Services Rangoon</v>
      </c>
      <c r="D414" s="59" t="str">
        <f>IFERROR(__xludf.DUMMYFUNCTION("""COMPUTED_VALUE"""),"X")</f>
        <v>X</v>
      </c>
      <c r="E414" s="60" t="str">
        <f>IFERROR(__xludf.DUMMYFUNCTION("""COMPUTED_VALUE"""),"https://x.com/ACSRangoon")</f>
        <v>https://x.com/ACSRangoon</v>
      </c>
    </row>
    <row r="415">
      <c r="A415" s="59" t="str">
        <f>IFERROR(__xludf.DUMMYFUNCTION("""COMPUTED_VALUE"""),"EAP")</f>
        <v>EAP</v>
      </c>
      <c r="B415" s="59" t="str">
        <f>IFERROR(__xludf.DUMMYFUNCTION("""COMPUTED_VALUE"""),"Burma")</f>
        <v>Burma</v>
      </c>
      <c r="C415" s="59" t="str">
        <f>IFERROR(__xludf.DUMMYFUNCTION("""COMPUTED_VALUE"""),"U.S. Embassy Rangoon Consular Section")</f>
        <v>U.S. Embassy Rangoon Consular Section</v>
      </c>
      <c r="D415" s="59" t="str">
        <f>IFERROR(__xludf.DUMMYFUNCTION("""COMPUTED_VALUE"""),"Facebook")</f>
        <v>Facebook</v>
      </c>
      <c r="E415" s="60" t="str">
        <f>IFERROR(__xludf.DUMMYFUNCTION("""COMPUTED_VALUE"""),"https://www.facebook.com/consularrangoon")</f>
        <v>https://www.facebook.com/consularrangoon</v>
      </c>
    </row>
    <row r="416">
      <c r="A416" s="59" t="str">
        <f>IFERROR(__xludf.DUMMYFUNCTION("""COMPUTED_VALUE"""),"EAP")</f>
        <v>EAP</v>
      </c>
      <c r="B416" s="59" t="str">
        <f>IFERROR(__xludf.DUMMYFUNCTION("""COMPUTED_VALUE"""),"Cambodia")</f>
        <v>Cambodia</v>
      </c>
      <c r="C416" s="59" t="str">
        <f>IFERROR(__xludf.DUMMYFUNCTION("""COMPUTED_VALUE"""),"U.S. Ambassador to Cambodia")</f>
        <v>U.S. Ambassador to Cambodia</v>
      </c>
      <c r="D416" s="59" t="str">
        <f>IFERROR(__xludf.DUMMYFUNCTION("""COMPUTED_VALUE"""),"X")</f>
        <v>X</v>
      </c>
      <c r="E416" s="60" t="str">
        <f>IFERROR(__xludf.DUMMYFUNCTION("""COMPUTED_VALUE"""),"https://x.com/USAmbCambodia")</f>
        <v>https://x.com/USAmbCambodia</v>
      </c>
    </row>
    <row r="417">
      <c r="A417" s="59" t="str">
        <f>IFERROR(__xludf.DUMMYFUNCTION("""COMPUTED_VALUE"""),"EAP")</f>
        <v>EAP</v>
      </c>
      <c r="B417" s="59" t="str">
        <f>IFERROR(__xludf.DUMMYFUNCTION("""COMPUTED_VALUE"""),"Cambodia")</f>
        <v>Cambodia</v>
      </c>
      <c r="C417" s="59" t="str">
        <f>IFERROR(__xludf.DUMMYFUNCTION("""COMPUTED_VALUE"""),"U.S. Embassy Phnom Penh")</f>
        <v>U.S. Embassy Phnom Penh</v>
      </c>
      <c r="D417" s="59" t="str">
        <f>IFERROR(__xludf.DUMMYFUNCTION("""COMPUTED_VALUE"""),"Facebook")</f>
        <v>Facebook</v>
      </c>
      <c r="E417" s="60" t="str">
        <f>IFERROR(__xludf.DUMMYFUNCTION("""COMPUTED_VALUE"""),"https://www.facebook.com/us.embassy.phnom.penh/")</f>
        <v>https://www.facebook.com/us.embassy.phnom.penh/</v>
      </c>
    </row>
    <row r="418">
      <c r="A418" s="59" t="str">
        <f>IFERROR(__xludf.DUMMYFUNCTION("""COMPUTED_VALUE"""),"EAP")</f>
        <v>EAP</v>
      </c>
      <c r="B418" s="59" t="str">
        <f>IFERROR(__xludf.DUMMYFUNCTION("""COMPUTED_VALUE"""),"Cambodia")</f>
        <v>Cambodia</v>
      </c>
      <c r="C418" s="59" t="str">
        <f>IFERROR(__xludf.DUMMYFUNCTION("""COMPUTED_VALUE"""),"U.S. Embassy Phnom Penh")</f>
        <v>U.S. Embassy Phnom Penh</v>
      </c>
      <c r="D418" s="59" t="str">
        <f>IFERROR(__xludf.DUMMYFUNCTION("""COMPUTED_VALUE"""),"Flickr")</f>
        <v>Flickr</v>
      </c>
      <c r="E418" s="60" t="str">
        <f>IFERROR(__xludf.DUMMYFUNCTION("""COMPUTED_VALUE"""),"https://www.flickr.com/photos/usembassyphnompenh/albums")</f>
        <v>https://www.flickr.com/photos/usembassyphnompenh/albums</v>
      </c>
    </row>
    <row r="419">
      <c r="A419" s="59" t="str">
        <f>IFERROR(__xludf.DUMMYFUNCTION("""COMPUTED_VALUE"""),"EAP")</f>
        <v>EAP</v>
      </c>
      <c r="B419" s="59" t="str">
        <f>IFERROR(__xludf.DUMMYFUNCTION("""COMPUTED_VALUE"""),"Cambodia")</f>
        <v>Cambodia</v>
      </c>
      <c r="C419" s="59" t="str">
        <f>IFERROR(__xludf.DUMMYFUNCTION("""COMPUTED_VALUE"""),"U.S. Embassy Phnom Penh")</f>
        <v>U.S. Embassy Phnom Penh</v>
      </c>
      <c r="D419" s="59" t="str">
        <f>IFERROR(__xludf.DUMMYFUNCTION("""COMPUTED_VALUE"""),"Instagram")</f>
        <v>Instagram</v>
      </c>
      <c r="E419" s="60" t="str">
        <f>IFERROR(__xludf.DUMMYFUNCTION("""COMPUTED_VALUE"""),"https://www.instagram.com/usembphnompenh")</f>
        <v>https://www.instagram.com/usembphnompenh</v>
      </c>
    </row>
    <row r="420">
      <c r="A420" s="59" t="str">
        <f>IFERROR(__xludf.DUMMYFUNCTION("""COMPUTED_VALUE"""),"EAP")</f>
        <v>EAP</v>
      </c>
      <c r="B420" s="59" t="str">
        <f>IFERROR(__xludf.DUMMYFUNCTION("""COMPUTED_VALUE"""),"Cambodia")</f>
        <v>Cambodia</v>
      </c>
      <c r="C420" s="59" t="str">
        <f>IFERROR(__xludf.DUMMYFUNCTION("""COMPUTED_VALUE"""),"U.S. Embassy Phnom Penh")</f>
        <v>U.S. Embassy Phnom Penh</v>
      </c>
      <c r="D420" s="59" t="str">
        <f>IFERROR(__xludf.DUMMYFUNCTION("""COMPUTED_VALUE"""),"X")</f>
        <v>X</v>
      </c>
      <c r="E420" s="60" t="str">
        <f>IFERROR(__xludf.DUMMYFUNCTION("""COMPUTED_VALUE"""),"https://x.com/USEmbPhnomPenh")</f>
        <v>https://x.com/USEmbPhnomPenh</v>
      </c>
    </row>
    <row r="421">
      <c r="A421" s="62" t="str">
        <f>IFERROR(__xludf.DUMMYFUNCTION("""COMPUTED_VALUE"""),"EAP")</f>
        <v>EAP</v>
      </c>
      <c r="B421" s="62" t="str">
        <f>IFERROR(__xludf.DUMMYFUNCTION("""COMPUTED_VALUE"""),"China")</f>
        <v>China</v>
      </c>
      <c r="C421" s="62" t="str">
        <f>IFERROR(__xludf.DUMMYFUNCTION("""COMPUTED_VALUE"""),"U.S. Ambassador to China")</f>
        <v>U.S. Ambassador to China</v>
      </c>
      <c r="D421" s="62" t="str">
        <f>IFERROR(__xludf.DUMMYFUNCTION("""COMPUTED_VALUE"""),"X")</f>
        <v>X</v>
      </c>
      <c r="E421" s="63" t="str">
        <f>IFERROR(__xludf.DUMMYFUNCTION("""COMPUTED_VALUE"""),"https://x.com/USAmbChina/")</f>
        <v>https://x.com/USAmbChina/</v>
      </c>
    </row>
    <row r="422">
      <c r="A422" s="62" t="str">
        <f>IFERROR(__xludf.DUMMYFUNCTION("""COMPUTED_VALUE"""),"EAP")</f>
        <v>EAP</v>
      </c>
      <c r="B422" s="62" t="str">
        <f>IFERROR(__xludf.DUMMYFUNCTION("""COMPUTED_VALUE"""),"China")</f>
        <v>China</v>
      </c>
      <c r="C422" s="62" t="str">
        <f>IFERROR(__xludf.DUMMYFUNCTION("""COMPUTED_VALUE"""),"U.S. Consulate in Guangzhou")</f>
        <v>U.S. Consulate in Guangzhou</v>
      </c>
      <c r="D422" s="62" t="str">
        <f>IFERROR(__xludf.DUMMYFUNCTION("""COMPUTED_VALUE"""),"Weibo")</f>
        <v>Weibo</v>
      </c>
      <c r="E422" s="63" t="str">
        <f>IFERROR(__xludf.DUMMYFUNCTION("""COMPUTED_VALUE"""),"https://weibo.com/gzpas")</f>
        <v>https://weibo.com/gzpas</v>
      </c>
    </row>
    <row r="423">
      <c r="A423" s="62" t="str">
        <f>IFERROR(__xludf.DUMMYFUNCTION("""COMPUTED_VALUE"""),"EAP")</f>
        <v>EAP</v>
      </c>
      <c r="B423" s="62" t="str">
        <f>IFERROR(__xludf.DUMMYFUNCTION("""COMPUTED_VALUE"""),"China")</f>
        <v>China</v>
      </c>
      <c r="C423" s="62" t="str">
        <f>IFERROR(__xludf.DUMMYFUNCTION("""COMPUTED_VALUE"""),"U.S. Consulate in Guangzhou")</f>
        <v>U.S. Consulate in Guangzhou</v>
      </c>
      <c r="D423" s="62" t="str">
        <f>IFERROR(__xludf.DUMMYFUNCTION("""COMPUTED_VALUE"""),"X")</f>
        <v>X</v>
      </c>
      <c r="E423" s="63" t="str">
        <f>IFERROR(__xludf.DUMMYFUNCTION("""COMPUTED_VALUE"""),"https://x.com/USCGGuangzhou")</f>
        <v>https://x.com/USCGGuangzhou</v>
      </c>
    </row>
    <row r="424">
      <c r="A424" s="59" t="str">
        <f>IFERROR(__xludf.DUMMYFUNCTION("""COMPUTED_VALUE"""),"EAP")</f>
        <v>EAP</v>
      </c>
      <c r="B424" s="59" t="str">
        <f>IFERROR(__xludf.DUMMYFUNCTION("""COMPUTED_VALUE"""),"China")</f>
        <v>China</v>
      </c>
      <c r="C424" s="59" t="str">
        <f>IFERROR(__xludf.DUMMYFUNCTION("""COMPUTED_VALUE"""),"U.S. Consulate in Shanghai")</f>
        <v>U.S. Consulate in Shanghai</v>
      </c>
      <c r="D424" s="59" t="str">
        <f>IFERROR(__xludf.DUMMYFUNCTION("""COMPUTED_VALUE"""),"Weibo")</f>
        <v>Weibo</v>
      </c>
      <c r="E424" s="60" t="str">
        <f>IFERROR(__xludf.DUMMYFUNCTION("""COMPUTED_VALUE"""),"https://weibo.com/u/3216945711")</f>
        <v>https://weibo.com/u/3216945711</v>
      </c>
    </row>
    <row r="425">
      <c r="A425" s="59" t="str">
        <f>IFERROR(__xludf.DUMMYFUNCTION("""COMPUTED_VALUE"""),"EAP")</f>
        <v>EAP</v>
      </c>
      <c r="B425" s="59" t="str">
        <f>IFERROR(__xludf.DUMMYFUNCTION("""COMPUTED_VALUE"""),"China")</f>
        <v>China</v>
      </c>
      <c r="C425" s="59" t="str">
        <f>IFERROR(__xludf.DUMMYFUNCTION("""COMPUTED_VALUE"""),"U.S. Consul General in Shanghai")</f>
        <v>U.S. Consul General in Shanghai</v>
      </c>
      <c r="D425" s="59" t="str">
        <f>IFERROR(__xludf.DUMMYFUNCTION("""COMPUTED_VALUE"""),"X")</f>
        <v>X</v>
      </c>
      <c r="E425" s="60" t="str">
        <f>IFERROR(__xludf.DUMMYFUNCTION("""COMPUTED_VALUE"""),"https://x.com/USCGShanghai")</f>
        <v>https://x.com/USCGShanghai</v>
      </c>
    </row>
    <row r="426">
      <c r="A426" s="59" t="str">
        <f>IFERROR(__xludf.DUMMYFUNCTION("""COMPUTED_VALUE"""),"EAP")</f>
        <v>EAP</v>
      </c>
      <c r="B426" s="59" t="str">
        <f>IFERROR(__xludf.DUMMYFUNCTION("""COMPUTED_VALUE"""),"China")</f>
        <v>China</v>
      </c>
      <c r="C426" s="59" t="str">
        <f>IFERROR(__xludf.DUMMYFUNCTION("""COMPUTED_VALUE"""),"U.S. Consulate in Shenyang")</f>
        <v>U.S. Consulate in Shenyang</v>
      </c>
      <c r="D426" s="59" t="str">
        <f>IFERROR(__xludf.DUMMYFUNCTION("""COMPUTED_VALUE"""),"Weibo")</f>
        <v>Weibo</v>
      </c>
      <c r="E426" s="60" t="str">
        <f>IFERROR(__xludf.DUMMYFUNCTION("""COMPUTED_VALUE"""),"https://www.weibo.com/shenyangconsulate/")</f>
        <v>https://www.weibo.com/shenyangconsulate/</v>
      </c>
    </row>
    <row r="427">
      <c r="A427" s="59" t="str">
        <f>IFERROR(__xludf.DUMMYFUNCTION("""COMPUTED_VALUE"""),"EAP")</f>
        <v>EAP</v>
      </c>
      <c r="B427" s="59" t="str">
        <f>IFERROR(__xludf.DUMMYFUNCTION("""COMPUTED_VALUE"""),"China")</f>
        <v>China</v>
      </c>
      <c r="C427" s="59" t="str">
        <f>IFERROR(__xludf.DUMMYFUNCTION("""COMPUTED_VALUE"""),"U.S. Consulate in Wuhan")</f>
        <v>U.S. Consulate in Wuhan</v>
      </c>
      <c r="D427" s="59" t="str">
        <f>IFERROR(__xludf.DUMMYFUNCTION("""COMPUTED_VALUE"""),"Weibo")</f>
        <v>Weibo</v>
      </c>
      <c r="E427" s="60" t="str">
        <f>IFERROR(__xludf.DUMMYFUNCTION("""COMPUTED_VALUE"""),"https://weibo.com/usconsulatewuhan")</f>
        <v>https://weibo.com/usconsulatewuhan</v>
      </c>
    </row>
    <row r="428">
      <c r="A428" s="59" t="str">
        <f>IFERROR(__xludf.DUMMYFUNCTION("""COMPUTED_VALUE"""),"EAP")</f>
        <v>EAP</v>
      </c>
      <c r="B428" s="59" t="str">
        <f>IFERROR(__xludf.DUMMYFUNCTION("""COMPUTED_VALUE"""),"China")</f>
        <v>China</v>
      </c>
      <c r="C428" s="59" t="str">
        <f>IFERROR(__xludf.DUMMYFUNCTION("""COMPUTED_VALUE"""),"U.S. Consulate in Wuhan")</f>
        <v>U.S. Consulate in Wuhan</v>
      </c>
      <c r="D428" s="59" t="str">
        <f>IFERROR(__xludf.DUMMYFUNCTION("""COMPUTED_VALUE"""),"YouKu")</f>
        <v>YouKu</v>
      </c>
      <c r="E428" s="60" t="str">
        <f>IFERROR(__xludf.DUMMYFUNCTION("""COMPUTED_VALUE"""),"https://i.youku.com/i/UMjkxNjcxNDA4MA==")</f>
        <v>https://i.youku.com/i/UMjkxNjcxNDA4MA==</v>
      </c>
    </row>
    <row r="429">
      <c r="A429" s="59" t="str">
        <f>IFERROR(__xludf.DUMMYFUNCTION("""COMPUTED_VALUE"""),"EAP")</f>
        <v>EAP</v>
      </c>
      <c r="B429" s="59" t="str">
        <f>IFERROR(__xludf.DUMMYFUNCTION("""COMPUTED_VALUE"""),"China")</f>
        <v>China</v>
      </c>
      <c r="C429" s="59" t="str">
        <f>IFERROR(__xludf.DUMMYFUNCTION("""COMPUTED_VALUE"""),"U.S. Embassy Beijing")</f>
        <v>U.S. Embassy Beijing</v>
      </c>
      <c r="D429" s="59" t="str">
        <f>IFERROR(__xludf.DUMMYFUNCTION("""COMPUTED_VALUE"""),"Flickr")</f>
        <v>Flickr</v>
      </c>
      <c r="E429" s="60" t="str">
        <f>IFERROR(__xludf.DUMMYFUNCTION("""COMPUTED_VALUE"""),"https://flickr.com/photos/usembassybeijing/albums/")</f>
        <v>https://flickr.com/photos/usembassybeijing/albums/</v>
      </c>
    </row>
    <row r="430">
      <c r="A430" s="59" t="str">
        <f>IFERROR(__xludf.DUMMYFUNCTION("""COMPUTED_VALUE"""),"EAP")</f>
        <v>EAP</v>
      </c>
      <c r="B430" s="59" t="str">
        <f>IFERROR(__xludf.DUMMYFUNCTION("""COMPUTED_VALUE"""),"China")</f>
        <v>China</v>
      </c>
      <c r="C430" s="59" t="str">
        <f>IFERROR(__xludf.DUMMYFUNCTION("""COMPUTED_VALUE"""),"U.S. Embassy Beijing")</f>
        <v>U.S. Embassy Beijing</v>
      </c>
      <c r="D430" s="59" t="str">
        <f>IFERROR(__xludf.DUMMYFUNCTION("""COMPUTED_VALUE"""),"X")</f>
        <v>X</v>
      </c>
      <c r="E430" s="60" t="str">
        <f>IFERROR(__xludf.DUMMYFUNCTION("""COMPUTED_VALUE"""),"https://x.com/USA_China_Talk")</f>
        <v>https://x.com/USA_China_Talk</v>
      </c>
    </row>
    <row r="431">
      <c r="A431" s="59" t="str">
        <f>IFERROR(__xludf.DUMMYFUNCTION("""COMPUTED_VALUE"""),"EAP")</f>
        <v>EAP</v>
      </c>
      <c r="B431" s="59" t="str">
        <f>IFERROR(__xludf.DUMMYFUNCTION("""COMPUTED_VALUE"""),"China")</f>
        <v>China</v>
      </c>
      <c r="C431" s="59" t="str">
        <f>IFERROR(__xludf.DUMMYFUNCTION("""COMPUTED_VALUE"""),"U.S. Embassy Beijing")</f>
        <v>U.S. Embassy Beijing</v>
      </c>
      <c r="D431" s="59" t="str">
        <f>IFERROR(__xludf.DUMMYFUNCTION("""COMPUTED_VALUE"""),"Weibo")</f>
        <v>Weibo</v>
      </c>
      <c r="E431" s="60" t="str">
        <f>IFERROR(__xludf.DUMMYFUNCTION("""COMPUTED_VALUE"""),"https://weibo.com/usembassy")</f>
        <v>https://weibo.com/usembassy</v>
      </c>
    </row>
    <row r="432">
      <c r="A432" s="59" t="str">
        <f>IFERROR(__xludf.DUMMYFUNCTION("""COMPUTED_VALUE"""),"EAP")</f>
        <v>EAP</v>
      </c>
      <c r="B432" s="59" t="str">
        <f>IFERROR(__xludf.DUMMYFUNCTION("""COMPUTED_VALUE"""),"China")</f>
        <v>China</v>
      </c>
      <c r="C432" s="59" t="str">
        <f>IFERROR(__xludf.DUMMYFUNCTION("""COMPUTED_VALUE"""),"U.S. Embassy Beijing")</f>
        <v>U.S. Embassy Beijing</v>
      </c>
      <c r="D432" s="59" t="str">
        <f>IFERROR(__xludf.DUMMYFUNCTION("""COMPUTED_VALUE"""),"YouKu")</f>
        <v>YouKu</v>
      </c>
      <c r="E432" s="60" t="str">
        <f>IFERROR(__xludf.DUMMYFUNCTION("""COMPUTED_VALUE"""),"https://www.youku.com/profile/index/?spm=a2h0c.8166622.PhoneSokuPgc_1.dportrait&amp;uid=UMTI2MjUzNTU2")</f>
        <v>https://www.youku.com/profile/index/?spm=a2h0c.8166622.PhoneSokuPgc_1.dportrait&amp;uid=UMTI2MjUzNTU2</v>
      </c>
    </row>
    <row r="433">
      <c r="A433" s="4" t="str">
        <f>IFERROR(__xludf.DUMMYFUNCTION("""COMPUTED_VALUE"""),"EAP")</f>
        <v>EAP</v>
      </c>
      <c r="B433" s="4" t="str">
        <f>IFERROR(__xludf.DUMMYFUNCTION("""COMPUTED_VALUE"""),"Federated States of Micronesia")</f>
        <v>Federated States of Micronesia</v>
      </c>
      <c r="C433" s="4" t="str">
        <f>IFERROR(__xludf.DUMMYFUNCTION("""COMPUTED_VALUE"""),"U.S. Embassy Kolonia")</f>
        <v>U.S. Embassy Kolonia</v>
      </c>
      <c r="D433" s="4" t="str">
        <f>IFERROR(__xludf.DUMMYFUNCTION("""COMPUTED_VALUE"""),"Facebook")</f>
        <v>Facebook</v>
      </c>
      <c r="E433" s="6" t="str">
        <f>IFERROR(__xludf.DUMMYFUNCTION("""COMPUTED_VALUE"""),"https://www.facebook.com/usembassykolonia/")</f>
        <v>https://www.facebook.com/usembassykolonia/</v>
      </c>
    </row>
    <row r="434">
      <c r="A434" s="4" t="str">
        <f>IFERROR(__xludf.DUMMYFUNCTION("""COMPUTED_VALUE"""),"EAP")</f>
        <v>EAP</v>
      </c>
      <c r="B434" s="4" t="str">
        <f>IFERROR(__xludf.DUMMYFUNCTION("""COMPUTED_VALUE"""),"Federated States of Micronesia")</f>
        <v>Federated States of Micronesia</v>
      </c>
      <c r="C434" s="4" t="str">
        <f>IFERROR(__xludf.DUMMYFUNCTION("""COMPUTED_VALUE"""),"U.S. Embassy Kolonia")</f>
        <v>U.S. Embassy Kolonia</v>
      </c>
      <c r="D434" s="4" t="str">
        <f>IFERROR(__xludf.DUMMYFUNCTION("""COMPUTED_VALUE"""),"Flickr")</f>
        <v>Flickr</v>
      </c>
      <c r="E434" s="6" t="str">
        <f>IFERROR(__xludf.DUMMYFUNCTION("""COMPUTED_VALUE"""),"https://www.flickr.com/photos/usembassykolonia/")</f>
        <v>https://www.flickr.com/photos/usembassykolonia/</v>
      </c>
    </row>
    <row r="435">
      <c r="A435" s="4" t="str">
        <f>IFERROR(__xludf.DUMMYFUNCTION("""COMPUTED_VALUE"""),"EAP")</f>
        <v>EAP</v>
      </c>
      <c r="B435" s="4" t="str">
        <f>IFERROR(__xludf.DUMMYFUNCTION("""COMPUTED_VALUE"""),"Federated States of Micronesia")</f>
        <v>Federated States of Micronesia</v>
      </c>
      <c r="C435" s="4" t="str">
        <f>IFERROR(__xludf.DUMMYFUNCTION("""COMPUTED_VALUE"""),"U.S. Embassy Kolonia")</f>
        <v>U.S. Embassy Kolonia</v>
      </c>
      <c r="D435" s="4" t="str">
        <f>IFERROR(__xludf.DUMMYFUNCTION("""COMPUTED_VALUE"""),"X")</f>
        <v>X</v>
      </c>
      <c r="E435" s="6" t="str">
        <f>IFERROR(__xludf.DUMMYFUNCTION("""COMPUTED_VALUE"""),"https://x.com/USEmbassyFSM")</f>
        <v>https://x.com/USEmbassyFSM</v>
      </c>
    </row>
    <row r="436">
      <c r="A436" s="4" t="str">
        <f>IFERROR(__xludf.DUMMYFUNCTION("""COMPUTED_VALUE"""),"EAP")</f>
        <v>EAP</v>
      </c>
      <c r="B436" s="4" t="str">
        <f>IFERROR(__xludf.DUMMYFUNCTION("""COMPUTED_VALUE"""),"Fiji")</f>
        <v>Fiji</v>
      </c>
      <c r="C436" s="4" t="str">
        <f>IFERROR(__xludf.DUMMYFUNCTION("""COMPUTED_VALUE"""),"U.S. Ambassador to Fiji")</f>
        <v>U.S. Ambassador to Fiji</v>
      </c>
      <c r="D436" s="4" t="str">
        <f>IFERROR(__xludf.DUMMYFUNCTION("""COMPUTED_VALUE"""),"X")</f>
        <v>X</v>
      </c>
      <c r="E436" s="6" t="str">
        <f>IFERROR(__xludf.DUMMYFUNCTION("""COMPUTED_VALUE"""),"https://x.com/USAmbSuva")</f>
        <v>https://x.com/USAmbSuva</v>
      </c>
    </row>
    <row r="437">
      <c r="A437" s="59" t="str">
        <f>IFERROR(__xludf.DUMMYFUNCTION("""COMPUTED_VALUE"""),"EAP")</f>
        <v>EAP</v>
      </c>
      <c r="B437" s="59" t="str">
        <f>IFERROR(__xludf.DUMMYFUNCTION("""COMPUTED_VALUE"""),"Fiji")</f>
        <v>Fiji</v>
      </c>
      <c r="C437" s="59" t="str">
        <f>IFERROR(__xludf.DUMMYFUNCTION("""COMPUTED_VALUE"""),"U.S. Embassy Suva")</f>
        <v>U.S. Embassy Suva</v>
      </c>
      <c r="D437" s="59" t="str">
        <f>IFERROR(__xludf.DUMMYFUNCTION("""COMPUTED_VALUE"""),"Facebook")</f>
        <v>Facebook</v>
      </c>
      <c r="E437" s="60" t="str">
        <f>IFERROR(__xludf.DUMMYFUNCTION("""COMPUTED_VALUE"""),"https://www.facebook.com/usembassysuva/")</f>
        <v>https://www.facebook.com/usembassysuva/</v>
      </c>
    </row>
    <row r="438">
      <c r="A438" s="59" t="str">
        <f>IFERROR(__xludf.DUMMYFUNCTION("""COMPUTED_VALUE"""),"EAP")</f>
        <v>EAP</v>
      </c>
      <c r="B438" s="59" t="str">
        <f>IFERROR(__xludf.DUMMYFUNCTION("""COMPUTED_VALUE"""),"Fiji")</f>
        <v>Fiji</v>
      </c>
      <c r="C438" s="59" t="str">
        <f>IFERROR(__xludf.DUMMYFUNCTION("""COMPUTED_VALUE"""),"U.S. Embassy Suva")</f>
        <v>U.S. Embassy Suva</v>
      </c>
      <c r="D438" s="59" t="str">
        <f>IFERROR(__xludf.DUMMYFUNCTION("""COMPUTED_VALUE"""),"Flickr")</f>
        <v>Flickr</v>
      </c>
      <c r="E438" s="60" t="str">
        <f>IFERROR(__xludf.DUMMYFUNCTION("""COMPUTED_VALUE"""),"https://www.flickr.com/photos/167418767@N06/")</f>
        <v>https://www.flickr.com/photos/167418767@N06/</v>
      </c>
    </row>
    <row r="439">
      <c r="A439" s="59" t="str">
        <f>IFERROR(__xludf.DUMMYFUNCTION("""COMPUTED_VALUE"""),"EAP")</f>
        <v>EAP</v>
      </c>
      <c r="B439" s="59" t="str">
        <f>IFERROR(__xludf.DUMMYFUNCTION("""COMPUTED_VALUE"""),"Fiji")</f>
        <v>Fiji</v>
      </c>
      <c r="C439" s="59" t="str">
        <f>IFERROR(__xludf.DUMMYFUNCTION("""COMPUTED_VALUE"""),"U.S. Embassy Suva")</f>
        <v>U.S. Embassy Suva</v>
      </c>
      <c r="D439" s="59" t="str">
        <f>IFERROR(__xludf.DUMMYFUNCTION("""COMPUTED_VALUE"""),"Instagram")</f>
        <v>Instagram</v>
      </c>
      <c r="E439" s="60" t="str">
        <f>IFERROR(__xludf.DUMMYFUNCTION("""COMPUTED_VALUE"""),"https://www.instagram.com/usembassysuva")</f>
        <v>https://www.instagram.com/usembassysuva</v>
      </c>
    </row>
    <row r="440">
      <c r="A440" s="59" t="str">
        <f>IFERROR(__xludf.DUMMYFUNCTION("""COMPUTED_VALUE"""),"EAP")</f>
        <v>EAP</v>
      </c>
      <c r="B440" s="59" t="str">
        <f>IFERROR(__xludf.DUMMYFUNCTION("""COMPUTED_VALUE"""),"Fiji")</f>
        <v>Fiji</v>
      </c>
      <c r="C440" s="59" t="str">
        <f>IFERROR(__xludf.DUMMYFUNCTION("""COMPUTED_VALUE"""),"U.S. Embassy Suva")</f>
        <v>U.S. Embassy Suva</v>
      </c>
      <c r="D440" s="59" t="str">
        <f>IFERROR(__xludf.DUMMYFUNCTION("""COMPUTED_VALUE"""),"X")</f>
        <v>X</v>
      </c>
      <c r="E440" s="60" t="str">
        <f>IFERROR(__xludf.DUMMYFUNCTION("""COMPUTED_VALUE"""),"https://x.com/USEmbassySuva")</f>
        <v>https://x.com/USEmbassySuva</v>
      </c>
    </row>
    <row r="441">
      <c r="A441" s="59" t="str">
        <f>IFERROR(__xludf.DUMMYFUNCTION("""COMPUTED_VALUE"""),"EAP")</f>
        <v>EAP</v>
      </c>
      <c r="B441" s="59" t="str">
        <f>IFERROR(__xludf.DUMMYFUNCTION("""COMPUTED_VALUE"""),"Fiji")</f>
        <v>Fiji</v>
      </c>
      <c r="C441" s="59" t="str">
        <f>IFERROR(__xludf.DUMMYFUNCTION("""COMPUTED_VALUE"""),"U.S. Embassy Suva")</f>
        <v>U.S. Embassy Suva</v>
      </c>
      <c r="D441" s="59" t="str">
        <f>IFERROR(__xludf.DUMMYFUNCTION("""COMPUTED_VALUE"""),"YouTube")</f>
        <v>YouTube</v>
      </c>
      <c r="E441" s="60" t="str">
        <f>IFERROR(__xludf.DUMMYFUNCTION("""COMPUTED_VALUE"""),"https://youtube.com/@usembassyfiji")</f>
        <v>https://youtube.com/@usembassyfiji</v>
      </c>
    </row>
    <row r="442">
      <c r="A442" s="59" t="str">
        <f>IFERROR(__xludf.DUMMYFUNCTION("""COMPUTED_VALUE"""),"EAP")</f>
        <v>EAP</v>
      </c>
      <c r="B442" s="59" t="str">
        <f>IFERROR(__xludf.DUMMYFUNCTION("""COMPUTED_VALUE"""),"Hong Kong and Macau")</f>
        <v>Hong Kong and Macau</v>
      </c>
      <c r="C442" s="59" t="str">
        <f>IFERROR(__xludf.DUMMYFUNCTION("""COMPUTED_VALUE"""),"U.S. Consulate General Hong Kong and Macau")</f>
        <v>U.S. Consulate General Hong Kong and Macau</v>
      </c>
      <c r="D442" s="59" t="str">
        <f>IFERROR(__xludf.DUMMYFUNCTION("""COMPUTED_VALUE"""),"Facebook")</f>
        <v>Facebook</v>
      </c>
      <c r="E442" s="60" t="str">
        <f>IFERROR(__xludf.DUMMYFUNCTION("""COMPUTED_VALUE"""),"https://www.facebook.com/USAinHKMacau/")</f>
        <v>https://www.facebook.com/USAinHKMacau/</v>
      </c>
    </row>
    <row r="443">
      <c r="A443" s="59" t="str">
        <f>IFERROR(__xludf.DUMMYFUNCTION("""COMPUTED_VALUE"""),"EAP")</f>
        <v>EAP</v>
      </c>
      <c r="B443" s="59" t="str">
        <f>IFERROR(__xludf.DUMMYFUNCTION("""COMPUTED_VALUE"""),"Hong Kong and Macau")</f>
        <v>Hong Kong and Macau</v>
      </c>
      <c r="C443" s="59" t="str">
        <f>IFERROR(__xludf.DUMMYFUNCTION("""COMPUTED_VALUE"""),"U.S. Consulate General Hong Kong and Macau")</f>
        <v>U.S. Consulate General Hong Kong and Macau</v>
      </c>
      <c r="D443" s="59" t="str">
        <f>IFERROR(__xludf.DUMMYFUNCTION("""COMPUTED_VALUE"""),"Instagram")</f>
        <v>Instagram</v>
      </c>
      <c r="E443" s="60" t="str">
        <f>IFERROR(__xludf.DUMMYFUNCTION("""COMPUTED_VALUE"""),"https://www.instagram.com/usainhkmacau")</f>
        <v>https://www.instagram.com/usainhkmacau</v>
      </c>
    </row>
    <row r="444">
      <c r="A444" s="59" t="str">
        <f>IFERROR(__xludf.DUMMYFUNCTION("""COMPUTED_VALUE"""),"EAP")</f>
        <v>EAP</v>
      </c>
      <c r="B444" s="59" t="str">
        <f>IFERROR(__xludf.DUMMYFUNCTION("""COMPUTED_VALUE"""),"Hong Kong and Macau")</f>
        <v>Hong Kong and Macau</v>
      </c>
      <c r="C444" s="59" t="str">
        <f>IFERROR(__xludf.DUMMYFUNCTION("""COMPUTED_VALUE"""),"U.S. Consulate General Hong Kong and Macau")</f>
        <v>U.S. Consulate General Hong Kong and Macau</v>
      </c>
      <c r="D444" s="59" t="str">
        <f>IFERROR(__xludf.DUMMYFUNCTION("""COMPUTED_VALUE"""),"X")</f>
        <v>X</v>
      </c>
      <c r="E444" s="60" t="str">
        <f>IFERROR(__xludf.DUMMYFUNCTION("""COMPUTED_VALUE"""),"https://x.com/USAinHKMacau")</f>
        <v>https://x.com/USAinHKMacau</v>
      </c>
    </row>
    <row r="445">
      <c r="A445" s="59" t="str">
        <f>IFERROR(__xludf.DUMMYFUNCTION("""COMPUTED_VALUE"""),"EAP")</f>
        <v>EAP</v>
      </c>
      <c r="B445" s="59" t="str">
        <f>IFERROR(__xludf.DUMMYFUNCTION("""COMPUTED_VALUE"""),"Hong Kong and Macau")</f>
        <v>Hong Kong and Macau</v>
      </c>
      <c r="C445" s="59" t="str">
        <f>IFERROR(__xludf.DUMMYFUNCTION("""COMPUTED_VALUE"""),"U.S. Consulate General Hong Kong and Macau")</f>
        <v>U.S. Consulate General Hong Kong and Macau</v>
      </c>
      <c r="D445" s="59" t="str">
        <f>IFERROR(__xludf.DUMMYFUNCTION("""COMPUTED_VALUE"""),"YouTube")</f>
        <v>YouTube</v>
      </c>
      <c r="E445" s="60" t="str">
        <f>IFERROR(__xludf.DUMMYFUNCTION("""COMPUTED_VALUE"""),"https://www.youtube.com/@USConsulateHongKong/")</f>
        <v>https://www.youtube.com/@USConsulateHongKong/</v>
      </c>
    </row>
    <row r="446">
      <c r="A446" s="59" t="str">
        <f>IFERROR(__xludf.DUMMYFUNCTION("""COMPUTED_VALUE"""),"EAP")</f>
        <v>EAP</v>
      </c>
      <c r="B446" s="59" t="str">
        <f>IFERROR(__xludf.DUMMYFUNCTION("""COMPUTED_VALUE"""),"Indonesia")</f>
        <v>Indonesia</v>
      </c>
      <c r="C446" s="59" t="str">
        <f>IFERROR(__xludf.DUMMYFUNCTION("""COMPUTED_VALUE"""),"U.S. Ambassador to Indonesia")</f>
        <v>U.S. Ambassador to Indonesia</v>
      </c>
      <c r="D446" s="59" t="str">
        <f>IFERROR(__xludf.DUMMYFUNCTION("""COMPUTED_VALUE"""),"X")</f>
        <v>X</v>
      </c>
      <c r="E446" s="60" t="str">
        <f>IFERROR(__xludf.DUMMYFUNCTION("""COMPUTED_VALUE"""),"https://x.com/USAmbIndonesia")</f>
        <v>https://x.com/USAmbIndonesia</v>
      </c>
    </row>
    <row r="447">
      <c r="A447" s="59" t="str">
        <f>IFERROR(__xludf.DUMMYFUNCTION("""COMPUTED_VALUE"""),"EAP")</f>
        <v>EAP</v>
      </c>
      <c r="B447" s="59" t="str">
        <f>IFERROR(__xludf.DUMMYFUNCTION("""COMPUTED_VALUE"""),"Indonesia")</f>
        <v>Indonesia</v>
      </c>
      <c r="C447" s="59" t="str">
        <f>IFERROR(__xludf.DUMMYFUNCTION("""COMPUTED_VALUE"""),"U.S. Consulate General Medan")</f>
        <v>U.S. Consulate General Medan</v>
      </c>
      <c r="D447" s="59" t="str">
        <f>IFERROR(__xludf.DUMMYFUNCTION("""COMPUTED_VALUE"""),"Facebook")</f>
        <v>Facebook</v>
      </c>
      <c r="E447" s="60" t="str">
        <f>IFERROR(__xludf.DUMMYFUNCTION("""COMPUTED_VALUE"""),"https://www.facebook.com/KonsulatASMdn/")</f>
        <v>https://www.facebook.com/KonsulatASMdn/</v>
      </c>
    </row>
    <row r="448">
      <c r="A448" s="59" t="str">
        <f>IFERROR(__xludf.DUMMYFUNCTION("""COMPUTED_VALUE"""),"EAP")</f>
        <v>EAP</v>
      </c>
      <c r="B448" s="59" t="str">
        <f>IFERROR(__xludf.DUMMYFUNCTION("""COMPUTED_VALUE"""),"Indonesia")</f>
        <v>Indonesia</v>
      </c>
      <c r="C448" s="59" t="str">
        <f>IFERROR(__xludf.DUMMYFUNCTION("""COMPUTED_VALUE"""),"U.S. Consulate General Medan")</f>
        <v>U.S. Consulate General Medan</v>
      </c>
      <c r="D448" s="59" t="str">
        <f>IFERROR(__xludf.DUMMYFUNCTION("""COMPUTED_VALUE"""),"Instagram")</f>
        <v>Instagram</v>
      </c>
      <c r="E448" s="60" t="str">
        <f>IFERROR(__xludf.DUMMYFUNCTION("""COMPUTED_VALUE"""),"https://www.instagram.com/konsulatasmdn")</f>
        <v>https://www.instagram.com/konsulatasmdn</v>
      </c>
    </row>
    <row r="449">
      <c r="A449" s="59" t="str">
        <f>IFERROR(__xludf.DUMMYFUNCTION("""COMPUTED_VALUE"""),"EAP")</f>
        <v>EAP</v>
      </c>
      <c r="B449" s="59" t="str">
        <f>IFERROR(__xludf.DUMMYFUNCTION("""COMPUTED_VALUE"""),"Indonesia")</f>
        <v>Indonesia</v>
      </c>
      <c r="C449" s="59" t="str">
        <f>IFERROR(__xludf.DUMMYFUNCTION("""COMPUTED_VALUE"""),"U.S. Consulate General Surabaya")</f>
        <v>U.S. Consulate General Surabaya</v>
      </c>
      <c r="D449" s="59" t="str">
        <f>IFERROR(__xludf.DUMMYFUNCTION("""COMPUTED_VALUE"""),"Facebook")</f>
        <v>Facebook</v>
      </c>
      <c r="E449" s="60" t="str">
        <f>IFERROR(__xludf.DUMMYFUNCTION("""COMPUTED_VALUE"""),"https://www.facebook.com/uscongensby/")</f>
        <v>https://www.facebook.com/uscongensby/</v>
      </c>
    </row>
    <row r="450">
      <c r="A450" s="59" t="str">
        <f>IFERROR(__xludf.DUMMYFUNCTION("""COMPUTED_VALUE"""),"EAP")</f>
        <v>EAP</v>
      </c>
      <c r="B450" s="59" t="str">
        <f>IFERROR(__xludf.DUMMYFUNCTION("""COMPUTED_VALUE"""),"Indonesia")</f>
        <v>Indonesia</v>
      </c>
      <c r="C450" s="59" t="str">
        <f>IFERROR(__xludf.DUMMYFUNCTION("""COMPUTED_VALUE"""),"U.S. Consulate General Surabaya")</f>
        <v>U.S. Consulate General Surabaya</v>
      </c>
      <c r="D450" s="59" t="str">
        <f>IFERROR(__xludf.DUMMYFUNCTION("""COMPUTED_VALUE"""),"Instagram")</f>
        <v>Instagram</v>
      </c>
      <c r="E450" s="60" t="str">
        <f>IFERROR(__xludf.DUMMYFUNCTION("""COMPUTED_VALUE"""),"https://www.instagram.com/uscongensby")</f>
        <v>https://www.instagram.com/uscongensby</v>
      </c>
    </row>
    <row r="451">
      <c r="A451" s="59" t="str">
        <f>IFERROR(__xludf.DUMMYFUNCTION("""COMPUTED_VALUE"""),"EAP")</f>
        <v>EAP</v>
      </c>
      <c r="B451" s="59" t="str">
        <f>IFERROR(__xludf.DUMMYFUNCTION("""COMPUTED_VALUE"""),"Indonesia")</f>
        <v>Indonesia</v>
      </c>
      <c r="C451" s="59" t="str">
        <f>IFERROR(__xludf.DUMMYFUNCTION("""COMPUTED_VALUE"""),"U.S. Consulate General Surabaya")</f>
        <v>U.S. Consulate General Surabaya</v>
      </c>
      <c r="D451" s="59" t="str">
        <f>IFERROR(__xludf.DUMMYFUNCTION("""COMPUTED_VALUE"""),"X")</f>
        <v>X</v>
      </c>
      <c r="E451" s="60" t="str">
        <f>IFERROR(__xludf.DUMMYFUNCTION("""COMPUTED_VALUE"""),"https://x.com/USConGenSby")</f>
        <v>https://x.com/USConGenSby</v>
      </c>
    </row>
    <row r="452">
      <c r="A452" s="59" t="str">
        <f>IFERROR(__xludf.DUMMYFUNCTION("""COMPUTED_VALUE"""),"EAP")</f>
        <v>EAP</v>
      </c>
      <c r="B452" s="59" t="str">
        <f>IFERROR(__xludf.DUMMYFUNCTION("""COMPUTED_VALUE"""),"Indonesia")</f>
        <v>Indonesia</v>
      </c>
      <c r="C452" s="59" t="str">
        <f>IFERROR(__xludf.DUMMYFUNCTION("""COMPUTED_VALUE"""),"U.S. Consulate General Surabaya")</f>
        <v>U.S. Consulate General Surabaya</v>
      </c>
      <c r="D452" s="59" t="str">
        <f>IFERROR(__xludf.DUMMYFUNCTION("""COMPUTED_VALUE"""),"YouTube")</f>
        <v>YouTube</v>
      </c>
      <c r="E452" s="60" t="str">
        <f>IFERROR(__xludf.DUMMYFUNCTION("""COMPUTED_VALUE"""),"https://www.youtube.com/user/USConGenSurabaya")</f>
        <v>https://www.youtube.com/user/USConGenSurabaya</v>
      </c>
    </row>
    <row r="453">
      <c r="A453" s="59" t="str">
        <f>IFERROR(__xludf.DUMMYFUNCTION("""COMPUTED_VALUE"""),"EAP")</f>
        <v>EAP</v>
      </c>
      <c r="B453" s="59" t="str">
        <f>IFERROR(__xludf.DUMMYFUNCTION("""COMPUTED_VALUE"""),"Indonesia")</f>
        <v>Indonesia</v>
      </c>
      <c r="C453" s="59" t="str">
        <f>IFERROR(__xludf.DUMMYFUNCTION("""COMPUTED_VALUE"""),"U.S. Consulate General Surabaya")</f>
        <v>U.S. Consulate General Surabaya</v>
      </c>
      <c r="D453" s="59" t="str">
        <f>IFERROR(__xludf.DUMMYFUNCTION("""COMPUTED_VALUE"""),"Flickr")</f>
        <v>Flickr</v>
      </c>
      <c r="E453" s="60" t="str">
        <f>IFERROR(__xludf.DUMMYFUNCTION("""COMPUTED_VALUE"""),"https://www.flickr.com/people/usconsulategeneralsurabaya/")</f>
        <v>https://www.flickr.com/people/usconsulategeneralsurabaya/</v>
      </c>
    </row>
    <row r="454">
      <c r="A454" s="59" t="str">
        <f>IFERROR(__xludf.DUMMYFUNCTION("""COMPUTED_VALUE"""),"EAP")</f>
        <v>EAP</v>
      </c>
      <c r="B454" s="59" t="str">
        <f>IFERROR(__xludf.DUMMYFUNCTION("""COMPUTED_VALUE"""),"Indonesia")</f>
        <v>Indonesia</v>
      </c>
      <c r="C454" s="59" t="str">
        <f>IFERROR(__xludf.DUMMYFUNCTION("""COMPUTED_VALUE"""),"U.S. Embassy Jakarta")</f>
        <v>U.S. Embassy Jakarta</v>
      </c>
      <c r="D454" s="59" t="str">
        <f>IFERROR(__xludf.DUMMYFUNCTION("""COMPUTED_VALUE"""),"Facebook")</f>
        <v>Facebook</v>
      </c>
      <c r="E454" s="60" t="str">
        <f>IFERROR(__xludf.DUMMYFUNCTION("""COMPUTED_VALUE"""),"https://www.facebook.com/usembassyjkt/")</f>
        <v>https://www.facebook.com/usembassyjkt/</v>
      </c>
    </row>
    <row r="455">
      <c r="A455" s="59" t="str">
        <f>IFERROR(__xludf.DUMMYFUNCTION("""COMPUTED_VALUE"""),"EAP")</f>
        <v>EAP</v>
      </c>
      <c r="B455" s="59" t="str">
        <f>IFERROR(__xludf.DUMMYFUNCTION("""COMPUTED_VALUE"""),"Indonesia")</f>
        <v>Indonesia</v>
      </c>
      <c r="C455" s="59" t="str">
        <f>IFERROR(__xludf.DUMMYFUNCTION("""COMPUTED_VALUE"""),"U.S. Embassy Jakarta")</f>
        <v>U.S. Embassy Jakarta</v>
      </c>
      <c r="D455" s="59" t="str">
        <f>IFERROR(__xludf.DUMMYFUNCTION("""COMPUTED_VALUE"""),"Flickr")</f>
        <v>Flickr</v>
      </c>
      <c r="E455" s="60" t="str">
        <f>IFERROR(__xludf.DUMMYFUNCTION("""COMPUTED_VALUE"""),"https://www.flickr.com/photos/usembassyjakarta/")</f>
        <v>https://www.flickr.com/photos/usembassyjakarta/</v>
      </c>
    </row>
    <row r="456">
      <c r="A456" s="59" t="str">
        <f>IFERROR(__xludf.DUMMYFUNCTION("""COMPUTED_VALUE"""),"EAP")</f>
        <v>EAP</v>
      </c>
      <c r="B456" s="59" t="str">
        <f>IFERROR(__xludf.DUMMYFUNCTION("""COMPUTED_VALUE"""),"Indonesia")</f>
        <v>Indonesia</v>
      </c>
      <c r="C456" s="59" t="str">
        <f>IFERROR(__xludf.DUMMYFUNCTION("""COMPUTED_VALUE"""),"U.S. Embassy Jakarta")</f>
        <v>U.S. Embassy Jakarta</v>
      </c>
      <c r="D456" s="59" t="str">
        <f>IFERROR(__xludf.DUMMYFUNCTION("""COMPUTED_VALUE"""),"Instagram")</f>
        <v>Instagram</v>
      </c>
      <c r="E456" s="60" t="str">
        <f>IFERROR(__xludf.DUMMYFUNCTION("""COMPUTED_VALUE"""),"https://www.instagram.com/usembassyjkt")</f>
        <v>https://www.instagram.com/usembassyjkt</v>
      </c>
    </row>
    <row r="457">
      <c r="A457" s="59" t="str">
        <f>IFERROR(__xludf.DUMMYFUNCTION("""COMPUTED_VALUE"""),"EAP")</f>
        <v>EAP</v>
      </c>
      <c r="B457" s="59" t="str">
        <f>IFERROR(__xludf.DUMMYFUNCTION("""COMPUTED_VALUE"""),"Indonesia")</f>
        <v>Indonesia</v>
      </c>
      <c r="C457" s="59" t="str">
        <f>IFERROR(__xludf.DUMMYFUNCTION("""COMPUTED_VALUE"""),"U.S. Embassy Jakarta")</f>
        <v>U.S. Embassy Jakarta</v>
      </c>
      <c r="D457" s="59" t="str">
        <f>IFERROR(__xludf.DUMMYFUNCTION("""COMPUTED_VALUE"""),"LinkedIn")</f>
        <v>LinkedIn</v>
      </c>
      <c r="E457" s="60" t="str">
        <f>IFERROR(__xludf.DUMMYFUNCTION("""COMPUTED_VALUE"""),"https://www.linkedin.com/showcase/usembassyjkt/")</f>
        <v>https://www.linkedin.com/showcase/usembassyjkt/</v>
      </c>
    </row>
    <row r="458">
      <c r="A458" s="59" t="str">
        <f>IFERROR(__xludf.DUMMYFUNCTION("""COMPUTED_VALUE"""),"EAP")</f>
        <v>EAP</v>
      </c>
      <c r="B458" s="59" t="str">
        <f>IFERROR(__xludf.DUMMYFUNCTION("""COMPUTED_VALUE"""),"Indonesia")</f>
        <v>Indonesia</v>
      </c>
      <c r="C458" s="59" t="str">
        <f>IFERROR(__xludf.DUMMYFUNCTION("""COMPUTED_VALUE"""),"U.S. Embassy Jakarta")</f>
        <v>U.S. Embassy Jakarta</v>
      </c>
      <c r="D458" s="59" t="str">
        <f>IFERROR(__xludf.DUMMYFUNCTION("""COMPUTED_VALUE"""),"X")</f>
        <v>X</v>
      </c>
      <c r="E458" s="60" t="str">
        <f>IFERROR(__xludf.DUMMYFUNCTION("""COMPUTED_VALUE"""),"https://x.com/usembassyjkt")</f>
        <v>https://x.com/usembassyjkt</v>
      </c>
    </row>
    <row r="459">
      <c r="A459" s="59" t="str">
        <f>IFERROR(__xludf.DUMMYFUNCTION("""COMPUTED_VALUE"""),"EAP")</f>
        <v>EAP</v>
      </c>
      <c r="B459" s="59" t="str">
        <f>IFERROR(__xludf.DUMMYFUNCTION("""COMPUTED_VALUE"""),"Indonesia")</f>
        <v>Indonesia</v>
      </c>
      <c r="C459" s="59" t="str">
        <f>IFERROR(__xludf.DUMMYFUNCTION("""COMPUTED_VALUE"""),"U.S. Embassy Jakarta")</f>
        <v>U.S. Embassy Jakarta</v>
      </c>
      <c r="D459" s="59" t="str">
        <f>IFERROR(__xludf.DUMMYFUNCTION("""COMPUTED_VALUE"""),"YouTube")</f>
        <v>YouTube</v>
      </c>
      <c r="E459" s="60" t="str">
        <f>IFERROR(__xludf.DUMMYFUNCTION("""COMPUTED_VALUE"""),"youtube.com/user/usembassyjakarta")</f>
        <v>youtube.com/user/usembassyjakarta</v>
      </c>
    </row>
    <row r="460">
      <c r="A460" s="59" t="str">
        <f>IFERROR(__xludf.DUMMYFUNCTION("""COMPUTED_VALUE"""),"EAP")</f>
        <v>EAP</v>
      </c>
      <c r="B460" s="59" t="str">
        <f>IFERROR(__xludf.DUMMYFUNCTION("""COMPUTED_VALUE"""),"Indonesia")</f>
        <v>Indonesia</v>
      </c>
      <c r="C460" s="59" t="str">
        <f>IFERROR(__xludf.DUMMYFUNCTION("""COMPUTED_VALUE"""),"U.S. Mission to ASEAN")</f>
        <v>U.S. Mission to ASEAN</v>
      </c>
      <c r="D460" s="59" t="str">
        <f>IFERROR(__xludf.DUMMYFUNCTION("""COMPUTED_VALUE"""),"Facebook")</f>
        <v>Facebook</v>
      </c>
      <c r="E460" s="60" t="str">
        <f>IFERROR(__xludf.DUMMYFUNCTION("""COMPUTED_VALUE"""),"https://www.facebook.com/USMission2ASEAN/")</f>
        <v>https://www.facebook.com/USMission2ASEAN/</v>
      </c>
    </row>
    <row r="461">
      <c r="A461" s="59" t="str">
        <f>IFERROR(__xludf.DUMMYFUNCTION("""COMPUTED_VALUE"""),"EAP")</f>
        <v>EAP</v>
      </c>
      <c r="B461" s="59" t="str">
        <f>IFERROR(__xludf.DUMMYFUNCTION("""COMPUTED_VALUE"""),"Indonesia")</f>
        <v>Indonesia</v>
      </c>
      <c r="C461" s="59" t="str">
        <f>IFERROR(__xludf.DUMMYFUNCTION("""COMPUTED_VALUE"""),"U.S. Mission to ASEAN")</f>
        <v>U.S. Mission to ASEAN</v>
      </c>
      <c r="D461" s="59" t="str">
        <f>IFERROR(__xludf.DUMMYFUNCTION("""COMPUTED_VALUE"""),"Flickr")</f>
        <v>Flickr</v>
      </c>
      <c r="E461" s="60" t="str">
        <f>IFERROR(__xludf.DUMMYFUNCTION("""COMPUTED_VALUE"""),"https://www.flickr.com/photos/usmission2asean/")</f>
        <v>https://www.flickr.com/photos/usmission2asean/</v>
      </c>
    </row>
    <row r="462">
      <c r="A462" s="59" t="str">
        <f>IFERROR(__xludf.DUMMYFUNCTION("""COMPUTED_VALUE"""),"EAP")</f>
        <v>EAP</v>
      </c>
      <c r="B462" s="59" t="str">
        <f>IFERROR(__xludf.DUMMYFUNCTION("""COMPUTED_VALUE"""),"Indonesia")</f>
        <v>Indonesia</v>
      </c>
      <c r="C462" s="59" t="str">
        <f>IFERROR(__xludf.DUMMYFUNCTION("""COMPUTED_VALUE"""),"U.S. Mission to ASEAN")</f>
        <v>U.S. Mission to ASEAN</v>
      </c>
      <c r="D462" s="59" t="str">
        <f>IFERROR(__xludf.DUMMYFUNCTION("""COMPUTED_VALUE"""),"Instagram")</f>
        <v>Instagram</v>
      </c>
      <c r="E462" s="60" t="str">
        <f>IFERROR(__xludf.DUMMYFUNCTION("""COMPUTED_VALUE"""),"https://www.instagram.com/usmission2asean")</f>
        <v>https://www.instagram.com/usmission2asean</v>
      </c>
    </row>
    <row r="463">
      <c r="A463" s="59" t="str">
        <f>IFERROR(__xludf.DUMMYFUNCTION("""COMPUTED_VALUE"""),"EAP")</f>
        <v>EAP</v>
      </c>
      <c r="B463" s="59" t="str">
        <f>IFERROR(__xludf.DUMMYFUNCTION("""COMPUTED_VALUE"""),"Indonesia")</f>
        <v>Indonesia</v>
      </c>
      <c r="C463" s="59" t="str">
        <f>IFERROR(__xludf.DUMMYFUNCTION("""COMPUTED_VALUE"""),"U.S. Mission to ASEAN")</f>
        <v>U.S. Mission to ASEAN</v>
      </c>
      <c r="D463" s="59" t="str">
        <f>IFERROR(__xludf.DUMMYFUNCTION("""COMPUTED_VALUE"""),"X")</f>
        <v>X</v>
      </c>
      <c r="E463" s="60" t="str">
        <f>IFERROR(__xludf.DUMMYFUNCTION("""COMPUTED_VALUE"""),"https://x.com/USMission2ASEAN")</f>
        <v>https://x.com/USMission2ASEAN</v>
      </c>
    </row>
    <row r="464">
      <c r="A464" s="59" t="str">
        <f>IFERROR(__xludf.DUMMYFUNCTION("""COMPUTED_VALUE"""),"EAP")</f>
        <v>EAP</v>
      </c>
      <c r="B464" s="59" t="str">
        <f>IFERROR(__xludf.DUMMYFUNCTION("""COMPUTED_VALUE"""),"Indonesia")</f>
        <v>Indonesia</v>
      </c>
      <c r="C464" s="59" t="str">
        <f>IFERROR(__xludf.DUMMYFUNCTION("""COMPUTED_VALUE"""),"U.S. Mission to ASEAN")</f>
        <v>U.S. Mission to ASEAN</v>
      </c>
      <c r="D464" s="59" t="str">
        <f>IFERROR(__xludf.DUMMYFUNCTION("""COMPUTED_VALUE"""),"YouTube")</f>
        <v>YouTube</v>
      </c>
      <c r="E464" s="60" t="str">
        <f>IFERROR(__xludf.DUMMYFUNCTION("""COMPUTED_VALUE"""),"youtube.com/user/USMission2ASEAN")</f>
        <v>youtube.com/user/USMission2ASEAN</v>
      </c>
    </row>
    <row r="465">
      <c r="A465" s="59" t="str">
        <f>IFERROR(__xludf.DUMMYFUNCTION("""COMPUTED_VALUE"""),"EAP")</f>
        <v>EAP</v>
      </c>
      <c r="B465" s="59" t="str">
        <f>IFERROR(__xludf.DUMMYFUNCTION("""COMPUTED_VALUE"""),"Indonesia")</f>
        <v>Indonesia</v>
      </c>
      <c r="C465" s="59" t="str">
        <f>IFERROR(__xludf.DUMMYFUNCTION("""COMPUTED_VALUE"""),"U.S. Mission to ASEAN")</f>
        <v>U.S. Mission to ASEAN</v>
      </c>
      <c r="D465" s="59" t="str">
        <f>IFERROR(__xludf.DUMMYFUNCTION("""COMPUTED_VALUE"""),"LinkedIn")</f>
        <v>LinkedIn</v>
      </c>
      <c r="E465" s="60" t="str">
        <f>IFERROR(__xludf.DUMMYFUNCTION("""COMPUTED_VALUE"""),"https://linkedin.com/company/usmission2asean")</f>
        <v>https://linkedin.com/company/usmission2asean</v>
      </c>
    </row>
    <row r="466">
      <c r="A466" s="59" t="str">
        <f>IFERROR(__xludf.DUMMYFUNCTION("""COMPUTED_VALUE"""),"EAP")</f>
        <v>EAP</v>
      </c>
      <c r="B466" s="59" t="str">
        <f>IFERROR(__xludf.DUMMYFUNCTION("""COMPUTED_VALUE"""),"Indonesia")</f>
        <v>Indonesia</v>
      </c>
      <c r="C466" s="59" t="str">
        <f>IFERROR(__xludf.DUMMYFUNCTION("""COMPUTED_VALUE"""),"Young Southeast Asian Leaders Initiative")</f>
        <v>Young Southeast Asian Leaders Initiative</v>
      </c>
      <c r="D466" s="59" t="str">
        <f>IFERROR(__xludf.DUMMYFUNCTION("""COMPUTED_VALUE"""),"Facebook")</f>
        <v>Facebook</v>
      </c>
      <c r="E466" s="60" t="str">
        <f>IFERROR(__xludf.DUMMYFUNCTION("""COMPUTED_VALUE"""),"https://www.facebook.com/yseali/")</f>
        <v>https://www.facebook.com/yseali/</v>
      </c>
    </row>
    <row r="467">
      <c r="A467" s="59" t="str">
        <f>IFERROR(__xludf.DUMMYFUNCTION("""COMPUTED_VALUE"""),"EAP")</f>
        <v>EAP</v>
      </c>
      <c r="B467" s="59" t="str">
        <f>IFERROR(__xludf.DUMMYFUNCTION("""COMPUTED_VALUE"""),"Indonesia")</f>
        <v>Indonesia</v>
      </c>
      <c r="C467" s="59" t="str">
        <f>IFERROR(__xludf.DUMMYFUNCTION("""COMPUTED_VALUE"""),"Young Southeast Asian Leaders Initiative")</f>
        <v>Young Southeast Asian Leaders Initiative</v>
      </c>
      <c r="D467" s="59" t="str">
        <f>IFERROR(__xludf.DUMMYFUNCTION("""COMPUTED_VALUE"""),"Flickr")</f>
        <v>Flickr</v>
      </c>
      <c r="E467" s="60" t="str">
        <f>IFERROR(__xludf.DUMMYFUNCTION("""COMPUTED_VALUE"""),"https://www.flickr.com/photos/yseali/")</f>
        <v>https://www.flickr.com/photos/yseali/</v>
      </c>
    </row>
    <row r="468">
      <c r="A468" s="59" t="str">
        <f>IFERROR(__xludf.DUMMYFUNCTION("""COMPUTED_VALUE"""),"EAP")</f>
        <v>EAP</v>
      </c>
      <c r="B468" s="59" t="str">
        <f>IFERROR(__xludf.DUMMYFUNCTION("""COMPUTED_VALUE"""),"Indonesia")</f>
        <v>Indonesia</v>
      </c>
      <c r="C468" s="59" t="str">
        <f>IFERROR(__xludf.DUMMYFUNCTION("""COMPUTED_VALUE"""),"Young Southeast Asian Leaders Initiative")</f>
        <v>Young Southeast Asian Leaders Initiative</v>
      </c>
      <c r="D468" s="59" t="str">
        <f>IFERROR(__xludf.DUMMYFUNCTION("""COMPUTED_VALUE"""),"Instagram")</f>
        <v>Instagram</v>
      </c>
      <c r="E468" s="60" t="str">
        <f>IFERROR(__xludf.DUMMYFUNCTION("""COMPUTED_VALUE"""),"https://www.instagram.com/yseali_official")</f>
        <v>https://www.instagram.com/yseali_official</v>
      </c>
    </row>
    <row r="469">
      <c r="A469" s="59" t="str">
        <f>IFERROR(__xludf.DUMMYFUNCTION("""COMPUTED_VALUE"""),"EAP")</f>
        <v>EAP</v>
      </c>
      <c r="B469" s="59" t="str">
        <f>IFERROR(__xludf.DUMMYFUNCTION("""COMPUTED_VALUE"""),"Indonesia")</f>
        <v>Indonesia</v>
      </c>
      <c r="C469" s="59" t="str">
        <f>IFERROR(__xludf.DUMMYFUNCTION("""COMPUTED_VALUE"""),"Young Southeast Asian Leaders Initiative")</f>
        <v>Young Southeast Asian Leaders Initiative</v>
      </c>
      <c r="D469" s="59" t="str">
        <f>IFERROR(__xludf.DUMMYFUNCTION("""COMPUTED_VALUE"""),"Tumblr")</f>
        <v>Tumblr</v>
      </c>
      <c r="E469" s="60" t="str">
        <f>IFERROR(__xludf.DUMMYFUNCTION("""COMPUTED_VALUE"""),"https://youngsoutheastasianleaders.tumblr.com/")</f>
        <v>https://youngsoutheastasianleaders.tumblr.com/</v>
      </c>
    </row>
    <row r="470">
      <c r="A470" s="59" t="str">
        <f>IFERROR(__xludf.DUMMYFUNCTION("""COMPUTED_VALUE"""),"EAP")</f>
        <v>EAP</v>
      </c>
      <c r="B470" s="59" t="str">
        <f>IFERROR(__xludf.DUMMYFUNCTION("""COMPUTED_VALUE"""),"Indonesia")</f>
        <v>Indonesia</v>
      </c>
      <c r="C470" s="59" t="str">
        <f>IFERROR(__xludf.DUMMYFUNCTION("""COMPUTED_VALUE"""),"Young Southeast Asian Leaders Initiative")</f>
        <v>Young Southeast Asian Leaders Initiative</v>
      </c>
      <c r="D470" s="59" t="str">
        <f>IFERROR(__xludf.DUMMYFUNCTION("""COMPUTED_VALUE"""),"X")</f>
        <v>X</v>
      </c>
      <c r="E470" s="60" t="str">
        <f>IFERROR(__xludf.DUMMYFUNCTION("""COMPUTED_VALUE"""),"https://x.com/yseali")</f>
        <v>https://x.com/yseali</v>
      </c>
    </row>
    <row r="471">
      <c r="A471" s="59" t="str">
        <f>IFERROR(__xludf.DUMMYFUNCTION("""COMPUTED_VALUE"""),"EAP")</f>
        <v>EAP</v>
      </c>
      <c r="B471" s="59" t="str">
        <f>IFERROR(__xludf.DUMMYFUNCTION("""COMPUTED_VALUE"""),"Japan")</f>
        <v>Japan</v>
      </c>
      <c r="C471" s="59" t="str">
        <f>IFERROR(__xludf.DUMMYFUNCTION("""COMPUTED_VALUE"""),"American Citizen Services Tokyo")</f>
        <v>American Citizen Services Tokyo</v>
      </c>
      <c r="D471" s="59" t="str">
        <f>IFERROR(__xludf.DUMMYFUNCTION("""COMPUTED_VALUE"""),"Facebook")</f>
        <v>Facebook</v>
      </c>
      <c r="E471" s="60" t="str">
        <f>IFERROR(__xludf.DUMMYFUNCTION("""COMPUTED_VALUE"""),"facebook.com/ACSTokyo")</f>
        <v>facebook.com/ACSTokyo</v>
      </c>
    </row>
    <row r="472">
      <c r="A472" s="59" t="str">
        <f>IFERROR(__xludf.DUMMYFUNCTION("""COMPUTED_VALUE"""),"EAP")</f>
        <v>EAP</v>
      </c>
      <c r="B472" s="59" t="str">
        <f>IFERROR(__xludf.DUMMYFUNCTION("""COMPUTED_VALUE"""),"Japan")</f>
        <v>Japan</v>
      </c>
      <c r="C472" s="59" t="str">
        <f>IFERROR(__xludf.DUMMYFUNCTION("""COMPUTED_VALUE"""),"American Citizen Services Tokyo")</f>
        <v>American Citizen Services Tokyo</v>
      </c>
      <c r="D472" s="59" t="str">
        <f>IFERROR(__xludf.DUMMYFUNCTION("""COMPUTED_VALUE"""),"X")</f>
        <v>X</v>
      </c>
      <c r="E472" s="60" t="str">
        <f>IFERROR(__xludf.DUMMYFUNCTION("""COMPUTED_VALUE"""),"https://x.com/ACSTokyo")</f>
        <v>https://x.com/ACSTokyo</v>
      </c>
    </row>
    <row r="473">
      <c r="A473" s="59" t="str">
        <f>IFERROR(__xludf.DUMMYFUNCTION("""COMPUTED_VALUE"""),"EAP")</f>
        <v>EAP</v>
      </c>
      <c r="B473" s="59" t="str">
        <f>IFERROR(__xludf.DUMMYFUNCTION("""COMPUTED_VALUE"""),"Japan")</f>
        <v>Japan</v>
      </c>
      <c r="C473" s="59" t="str">
        <f>IFERROR(__xludf.DUMMYFUNCTION("""COMPUTED_VALUE"""),"U.S. Ambassador to Japan")</f>
        <v>U.S. Ambassador to Japan</v>
      </c>
      <c r="D473" s="59" t="str">
        <f>IFERROR(__xludf.DUMMYFUNCTION("""COMPUTED_VALUE"""),"Instagram")</f>
        <v>Instagram</v>
      </c>
      <c r="E473" s="60" t="str">
        <f>IFERROR(__xludf.DUMMYFUNCTION("""COMPUTED_VALUE"""),"https://www.instagram.com/usambjapan/")</f>
        <v>https://www.instagram.com/usambjapan/</v>
      </c>
    </row>
    <row r="474">
      <c r="A474" s="59" t="str">
        <f>IFERROR(__xludf.DUMMYFUNCTION("""COMPUTED_VALUE"""),"EAP")</f>
        <v>EAP</v>
      </c>
      <c r="B474" s="59" t="str">
        <f>IFERROR(__xludf.DUMMYFUNCTION("""COMPUTED_VALUE"""),"Japan")</f>
        <v>Japan</v>
      </c>
      <c r="C474" s="59" t="str">
        <f>IFERROR(__xludf.DUMMYFUNCTION("""COMPUTED_VALUE"""),"U.S. Ambassador to Japan")</f>
        <v>U.S. Ambassador to Japan</v>
      </c>
      <c r="D474" s="59" t="str">
        <f>IFERROR(__xludf.DUMMYFUNCTION("""COMPUTED_VALUE"""),"X")</f>
        <v>X</v>
      </c>
      <c r="E474" s="60" t="str">
        <f>IFERROR(__xludf.DUMMYFUNCTION("""COMPUTED_VALUE"""),"https://x.com/usambjapan")</f>
        <v>https://x.com/usambjapan</v>
      </c>
    </row>
    <row r="475">
      <c r="A475" s="59" t="str">
        <f>IFERROR(__xludf.DUMMYFUNCTION("""COMPUTED_VALUE"""),"EAP")</f>
        <v>EAP</v>
      </c>
      <c r="B475" s="59" t="str">
        <f>IFERROR(__xludf.DUMMYFUNCTION("""COMPUTED_VALUE"""),"Japan")</f>
        <v>Japan</v>
      </c>
      <c r="C475" s="59" t="str">
        <f>IFERROR(__xludf.DUMMYFUNCTION("""COMPUTED_VALUE"""),"U.S. Ambassador to Japan")</f>
        <v>U.S. Ambassador to Japan</v>
      </c>
      <c r="D475" s="59" t="str">
        <f>IFERROR(__xludf.DUMMYFUNCTION("""COMPUTED_VALUE"""),"Threads")</f>
        <v>Threads</v>
      </c>
      <c r="E475" s="60" t="str">
        <f>IFERROR(__xludf.DUMMYFUNCTION("""COMPUTED_VALUE"""),"https://www.threads.net/@usambjapan ")</f>
        <v>https://www.threads.net/@usambjapan </v>
      </c>
    </row>
    <row r="476">
      <c r="A476" s="59" t="str">
        <f>IFERROR(__xludf.DUMMYFUNCTION("""COMPUTED_VALUE"""),"EAP")</f>
        <v>EAP</v>
      </c>
      <c r="B476" s="59" t="str">
        <f>IFERROR(__xludf.DUMMYFUNCTION("""COMPUTED_VALUE"""),"Japan")</f>
        <v>Japan</v>
      </c>
      <c r="C476" s="59" t="str">
        <f>IFERROR(__xludf.DUMMYFUNCTION("""COMPUTED_VALUE"""),"U.S. Consulate General Fukuoka")</f>
        <v>U.S. Consulate General Fukuoka</v>
      </c>
      <c r="D476" s="59" t="str">
        <f>IFERROR(__xludf.DUMMYFUNCTION("""COMPUTED_VALUE"""),"Facebook")</f>
        <v>Facebook</v>
      </c>
      <c r="E476" s="60" t="str">
        <f>IFERROR(__xludf.DUMMYFUNCTION("""COMPUTED_VALUE"""),"https://www.facebook.com/USConsulateFukuoka/")</f>
        <v>https://www.facebook.com/USConsulateFukuoka/</v>
      </c>
    </row>
    <row r="477">
      <c r="A477" s="59" t="str">
        <f>IFERROR(__xludf.DUMMYFUNCTION("""COMPUTED_VALUE"""),"EAP")</f>
        <v>EAP</v>
      </c>
      <c r="B477" s="59" t="str">
        <f>IFERROR(__xludf.DUMMYFUNCTION("""COMPUTED_VALUE"""),"Japan")</f>
        <v>Japan</v>
      </c>
      <c r="C477" s="59" t="str">
        <f>IFERROR(__xludf.DUMMYFUNCTION("""COMPUTED_VALUE"""),"U.S. Consulate General Fukuoka")</f>
        <v>U.S. Consulate General Fukuoka</v>
      </c>
      <c r="D477" s="59" t="str">
        <f>IFERROR(__xludf.DUMMYFUNCTION("""COMPUTED_VALUE"""),"Instagram")</f>
        <v>Instagram</v>
      </c>
      <c r="E477" s="60" t="str">
        <f>IFERROR(__xludf.DUMMYFUNCTION("""COMPUTED_VALUE"""),"https://www.instagram.com/usconsfukuoka/")</f>
        <v>https://www.instagram.com/usconsfukuoka/</v>
      </c>
    </row>
    <row r="478">
      <c r="A478" s="59" t="str">
        <f>IFERROR(__xludf.DUMMYFUNCTION("""COMPUTED_VALUE"""),"EAP")</f>
        <v>EAP</v>
      </c>
      <c r="B478" s="59" t="str">
        <f>IFERROR(__xludf.DUMMYFUNCTION("""COMPUTED_VALUE"""),"Japan")</f>
        <v>Japan</v>
      </c>
      <c r="C478" s="59" t="str">
        <f>IFERROR(__xludf.DUMMYFUNCTION("""COMPUTED_VALUE"""),"U.S. Consulate General Fukuoka")</f>
        <v>U.S. Consulate General Fukuoka</v>
      </c>
      <c r="D478" s="59" t="str">
        <f>IFERROR(__xludf.DUMMYFUNCTION("""COMPUTED_VALUE"""),"X")</f>
        <v>X</v>
      </c>
      <c r="E478" s="60" t="str">
        <f>IFERROR(__xludf.DUMMYFUNCTION("""COMPUTED_VALUE"""),"https://x.com/USConsFukuoka")</f>
        <v>https://x.com/USConsFukuoka</v>
      </c>
    </row>
    <row r="479">
      <c r="A479" s="59" t="str">
        <f>IFERROR(__xludf.DUMMYFUNCTION("""COMPUTED_VALUE"""),"EAP")</f>
        <v>EAP</v>
      </c>
      <c r="B479" s="59" t="str">
        <f>IFERROR(__xludf.DUMMYFUNCTION("""COMPUTED_VALUE"""),"Japan")</f>
        <v>Japan</v>
      </c>
      <c r="C479" s="59" t="str">
        <f>IFERROR(__xludf.DUMMYFUNCTION("""COMPUTED_VALUE"""),"U.S. Consulate General Nagoya")</f>
        <v>U.S. Consulate General Nagoya</v>
      </c>
      <c r="D479" s="59" t="str">
        <f>IFERROR(__xludf.DUMMYFUNCTION("""COMPUTED_VALUE"""),"Facebook")</f>
        <v>Facebook</v>
      </c>
      <c r="E479" s="60" t="str">
        <f>IFERROR(__xludf.DUMMYFUNCTION("""COMPUTED_VALUE"""),"https://www.facebook.com/USConsNagoya")</f>
        <v>https://www.facebook.com/USConsNagoya</v>
      </c>
    </row>
    <row r="480">
      <c r="A480" s="59" t="str">
        <f>IFERROR(__xludf.DUMMYFUNCTION("""COMPUTED_VALUE"""),"EAP")</f>
        <v>EAP</v>
      </c>
      <c r="B480" s="59" t="str">
        <f>IFERROR(__xludf.DUMMYFUNCTION("""COMPUTED_VALUE"""),"Japan")</f>
        <v>Japan</v>
      </c>
      <c r="C480" s="59" t="str">
        <f>IFERROR(__xludf.DUMMYFUNCTION("""COMPUTED_VALUE"""),"U.S. Consulate General Nagoya")</f>
        <v>U.S. Consulate General Nagoya</v>
      </c>
      <c r="D480" s="59" t="str">
        <f>IFERROR(__xludf.DUMMYFUNCTION("""COMPUTED_VALUE"""),"Instagram")</f>
        <v>Instagram</v>
      </c>
      <c r="E480" s="60" t="str">
        <f>IFERROR(__xludf.DUMMYFUNCTION("""COMPUTED_VALUE"""),"https://www.instagram.com/usconsnagoya/")</f>
        <v>https://www.instagram.com/usconsnagoya/</v>
      </c>
    </row>
    <row r="481">
      <c r="A481" s="59" t="str">
        <f>IFERROR(__xludf.DUMMYFUNCTION("""COMPUTED_VALUE"""),"EAP")</f>
        <v>EAP</v>
      </c>
      <c r="B481" s="59" t="str">
        <f>IFERROR(__xludf.DUMMYFUNCTION("""COMPUTED_VALUE"""),"Japan")</f>
        <v>Japan</v>
      </c>
      <c r="C481" s="59" t="str">
        <f>IFERROR(__xludf.DUMMYFUNCTION("""COMPUTED_VALUE"""),"U.S. Consulate General Nagoya")</f>
        <v>U.S. Consulate General Nagoya</v>
      </c>
      <c r="D481" s="59" t="str">
        <f>IFERROR(__xludf.DUMMYFUNCTION("""COMPUTED_VALUE"""),"X")</f>
        <v>X</v>
      </c>
      <c r="E481" s="60" t="str">
        <f>IFERROR(__xludf.DUMMYFUNCTION("""COMPUTED_VALUE"""),"https://x.com/USConsNagoya")</f>
        <v>https://x.com/USConsNagoya</v>
      </c>
    </row>
    <row r="482">
      <c r="A482" s="59" t="str">
        <f>IFERROR(__xludf.DUMMYFUNCTION("""COMPUTED_VALUE"""),"EAP")</f>
        <v>EAP</v>
      </c>
      <c r="B482" s="59" t="str">
        <f>IFERROR(__xludf.DUMMYFUNCTION("""COMPUTED_VALUE"""),"Japan")</f>
        <v>Japan</v>
      </c>
      <c r="C482" s="59" t="str">
        <f>IFERROR(__xludf.DUMMYFUNCTION("""COMPUTED_VALUE"""),"U.S. Consulate General Naha")</f>
        <v>U.S. Consulate General Naha</v>
      </c>
      <c r="D482" s="59" t="str">
        <f>IFERROR(__xludf.DUMMYFUNCTION("""COMPUTED_VALUE"""),"Facebook")</f>
        <v>Facebook</v>
      </c>
      <c r="E482" s="60" t="str">
        <f>IFERROR(__xludf.DUMMYFUNCTION("""COMPUTED_VALUE"""),"https://www.facebook.com/U.S.ConsulateGeneralNaha/")</f>
        <v>https://www.facebook.com/U.S.ConsulateGeneralNaha/</v>
      </c>
    </row>
    <row r="483">
      <c r="A483" s="59" t="str">
        <f>IFERROR(__xludf.DUMMYFUNCTION("""COMPUTED_VALUE"""),"EAP")</f>
        <v>EAP</v>
      </c>
      <c r="B483" s="59" t="str">
        <f>IFERROR(__xludf.DUMMYFUNCTION("""COMPUTED_VALUE"""),"Japan")</f>
        <v>Japan</v>
      </c>
      <c r="C483" s="59" t="str">
        <f>IFERROR(__xludf.DUMMYFUNCTION("""COMPUTED_VALUE"""),"U.S. Consulate General Naha")</f>
        <v>U.S. Consulate General Naha</v>
      </c>
      <c r="D483" s="59" t="str">
        <f>IFERROR(__xludf.DUMMYFUNCTION("""COMPUTED_VALUE"""),"Instagram")</f>
        <v>Instagram</v>
      </c>
      <c r="E483" s="60" t="str">
        <f>IFERROR(__xludf.DUMMYFUNCTION("""COMPUTED_VALUE"""),"https://www.instagram.com/usconsulatenaha/")</f>
        <v>https://www.instagram.com/usconsulatenaha/</v>
      </c>
    </row>
    <row r="484">
      <c r="A484" s="59" t="str">
        <f>IFERROR(__xludf.DUMMYFUNCTION("""COMPUTED_VALUE"""),"EAP")</f>
        <v>EAP</v>
      </c>
      <c r="B484" s="59" t="str">
        <f>IFERROR(__xludf.DUMMYFUNCTION("""COMPUTED_VALUE"""),"Japan")</f>
        <v>Japan</v>
      </c>
      <c r="C484" s="59" t="str">
        <f>IFERROR(__xludf.DUMMYFUNCTION("""COMPUTED_VALUE"""),"U.S. Consulate General Naha")</f>
        <v>U.S. Consulate General Naha</v>
      </c>
      <c r="D484" s="59" t="str">
        <f>IFERROR(__xludf.DUMMYFUNCTION("""COMPUTED_VALUE"""),"X")</f>
        <v>X</v>
      </c>
      <c r="E484" s="60" t="str">
        <f>IFERROR(__xludf.DUMMYFUNCTION("""COMPUTED_VALUE"""),"https://x.com/USConsulateNaha")</f>
        <v>https://x.com/USConsulateNaha</v>
      </c>
    </row>
    <row r="485">
      <c r="A485" s="59" t="str">
        <f>IFERROR(__xludf.DUMMYFUNCTION("""COMPUTED_VALUE"""),"EAP")</f>
        <v>EAP</v>
      </c>
      <c r="B485" s="59" t="str">
        <f>IFERROR(__xludf.DUMMYFUNCTION("""COMPUTED_VALUE"""),"Japan")</f>
        <v>Japan</v>
      </c>
      <c r="C485" s="59" t="str">
        <f>IFERROR(__xludf.DUMMYFUNCTION("""COMPUTED_VALUE"""),"U.S. Consulate General Naha American Citizen Services")</f>
        <v>U.S. Consulate General Naha American Citizen Services</v>
      </c>
      <c r="D485" s="59" t="str">
        <f>IFERROR(__xludf.DUMMYFUNCTION("""COMPUTED_VALUE"""),"Facebook")</f>
        <v>Facebook</v>
      </c>
      <c r="E485" s="60" t="str">
        <f>IFERROR(__xludf.DUMMYFUNCTION("""COMPUTED_VALUE"""),"https://www.facebook.com/naha.usconsulate/ ")</f>
        <v>https://www.facebook.com/naha.usconsulate/ </v>
      </c>
    </row>
    <row r="486">
      <c r="A486" s="59" t="str">
        <f>IFERROR(__xludf.DUMMYFUNCTION("""COMPUTED_VALUE"""),"EAP")</f>
        <v>EAP</v>
      </c>
      <c r="B486" s="59" t="str">
        <f>IFERROR(__xludf.DUMMYFUNCTION("""COMPUTED_VALUE"""),"Japan")</f>
        <v>Japan</v>
      </c>
      <c r="C486" s="59" t="str">
        <f>IFERROR(__xludf.DUMMYFUNCTION("""COMPUTED_VALUE"""),"U.S. Consulate General Osaka-Kobe")</f>
        <v>U.S. Consulate General Osaka-Kobe</v>
      </c>
      <c r="D486" s="59" t="str">
        <f>IFERROR(__xludf.DUMMYFUNCTION("""COMPUTED_VALUE"""),"Facebook")</f>
        <v>Facebook</v>
      </c>
      <c r="E486" s="60" t="str">
        <f>IFERROR(__xludf.DUMMYFUNCTION("""COMPUTED_VALUE"""),"https://www.facebook.com/USConGenOsaka/")</f>
        <v>https://www.facebook.com/USConGenOsaka/</v>
      </c>
    </row>
    <row r="487">
      <c r="A487" s="59" t="str">
        <f>IFERROR(__xludf.DUMMYFUNCTION("""COMPUTED_VALUE"""),"EAP")</f>
        <v>EAP</v>
      </c>
      <c r="B487" s="59" t="str">
        <f>IFERROR(__xludf.DUMMYFUNCTION("""COMPUTED_VALUE"""),"Japan")</f>
        <v>Japan</v>
      </c>
      <c r="C487" s="59" t="str">
        <f>IFERROR(__xludf.DUMMYFUNCTION("""COMPUTED_VALUE"""),"U.S. Consulate General Osaka-Kobe")</f>
        <v>U.S. Consulate General Osaka-Kobe</v>
      </c>
      <c r="D487" s="59" t="str">
        <f>IFERROR(__xludf.DUMMYFUNCTION("""COMPUTED_VALUE"""),"Instagram")</f>
        <v>Instagram</v>
      </c>
      <c r="E487" s="60" t="str">
        <f>IFERROR(__xludf.DUMMYFUNCTION("""COMPUTED_VALUE"""),"https://www.instagram.com/usconsosakakobe/")</f>
        <v>https://www.instagram.com/usconsosakakobe/</v>
      </c>
    </row>
    <row r="488">
      <c r="A488" s="59" t="str">
        <f>IFERROR(__xludf.DUMMYFUNCTION("""COMPUTED_VALUE"""),"EAP")</f>
        <v>EAP</v>
      </c>
      <c r="B488" s="59" t="str">
        <f>IFERROR(__xludf.DUMMYFUNCTION("""COMPUTED_VALUE"""),"Japan")</f>
        <v>Japan</v>
      </c>
      <c r="C488" s="59" t="str">
        <f>IFERROR(__xludf.DUMMYFUNCTION("""COMPUTED_VALUE"""),"U.S. Consulate General Osaka-Kobe")</f>
        <v>U.S. Consulate General Osaka-Kobe</v>
      </c>
      <c r="D488" s="59" t="str">
        <f>IFERROR(__xludf.DUMMYFUNCTION("""COMPUTED_VALUE"""),"X")</f>
        <v>X</v>
      </c>
      <c r="E488" s="60" t="str">
        <f>IFERROR(__xludf.DUMMYFUNCTION("""COMPUTED_VALUE"""),"https://x.com/USConsOsakaKobe")</f>
        <v>https://x.com/USConsOsakaKobe</v>
      </c>
    </row>
    <row r="489">
      <c r="A489" s="59" t="str">
        <f>IFERROR(__xludf.DUMMYFUNCTION("""COMPUTED_VALUE"""),"EAP")</f>
        <v>EAP</v>
      </c>
      <c r="B489" s="59" t="str">
        <f>IFERROR(__xludf.DUMMYFUNCTION("""COMPUTED_VALUE"""),"Japan")</f>
        <v>Japan</v>
      </c>
      <c r="C489" s="59" t="str">
        <f>IFERROR(__xludf.DUMMYFUNCTION("""COMPUTED_VALUE"""),"U.S. Consulate General Sapporo")</f>
        <v>U.S. Consulate General Sapporo</v>
      </c>
      <c r="D489" s="59" t="str">
        <f>IFERROR(__xludf.DUMMYFUNCTION("""COMPUTED_VALUE"""),"Facebook")</f>
        <v>Facebook</v>
      </c>
      <c r="E489" s="60" t="str">
        <f>IFERROR(__xludf.DUMMYFUNCTION("""COMPUTED_VALUE"""),"https://www.facebook.com/USConGenSapporo/")</f>
        <v>https://www.facebook.com/USConGenSapporo/</v>
      </c>
    </row>
    <row r="490">
      <c r="A490" s="59" t="str">
        <f>IFERROR(__xludf.DUMMYFUNCTION("""COMPUTED_VALUE"""),"EAP")</f>
        <v>EAP</v>
      </c>
      <c r="B490" s="59" t="str">
        <f>IFERROR(__xludf.DUMMYFUNCTION("""COMPUTED_VALUE"""),"Japan")</f>
        <v>Japan</v>
      </c>
      <c r="C490" s="59" t="str">
        <f>IFERROR(__xludf.DUMMYFUNCTION("""COMPUTED_VALUE"""),"U.S. Consulate General Sapporo")</f>
        <v>U.S. Consulate General Sapporo</v>
      </c>
      <c r="D490" s="59" t="str">
        <f>IFERROR(__xludf.DUMMYFUNCTION("""COMPUTED_VALUE"""),"X")</f>
        <v>X</v>
      </c>
      <c r="E490" s="60" t="str">
        <f>IFERROR(__xludf.DUMMYFUNCTION("""COMPUTED_VALUE"""),"https://x.com/USConsSapporo")</f>
        <v>https://x.com/USConsSapporo</v>
      </c>
    </row>
    <row r="491">
      <c r="A491" s="59" t="str">
        <f>IFERROR(__xludf.DUMMYFUNCTION("""COMPUTED_VALUE"""),"EAP")</f>
        <v>EAP</v>
      </c>
      <c r="B491" s="59" t="str">
        <f>IFERROR(__xludf.DUMMYFUNCTION("""COMPUTED_VALUE"""),"Japan")</f>
        <v>Japan</v>
      </c>
      <c r="C491" s="59" t="str">
        <f>IFERROR(__xludf.DUMMYFUNCTION("""COMPUTED_VALUE"""),"U.S. Embassy Tokyo")</f>
        <v>U.S. Embassy Tokyo</v>
      </c>
      <c r="D491" s="59" t="str">
        <f>IFERROR(__xludf.DUMMYFUNCTION("""COMPUTED_VALUE"""),"Facebook")</f>
        <v>Facebook</v>
      </c>
      <c r="E491" s="60" t="str">
        <f>IFERROR(__xludf.DUMMYFUNCTION("""COMPUTED_VALUE"""),"https://www.facebook.com/usembassytokyo/")</f>
        <v>https://www.facebook.com/usembassytokyo/</v>
      </c>
    </row>
    <row r="492">
      <c r="A492" s="59" t="str">
        <f>IFERROR(__xludf.DUMMYFUNCTION("""COMPUTED_VALUE"""),"EAP")</f>
        <v>EAP</v>
      </c>
      <c r="B492" s="59" t="str">
        <f>IFERROR(__xludf.DUMMYFUNCTION("""COMPUTED_VALUE"""),"Japan")</f>
        <v>Japan</v>
      </c>
      <c r="C492" s="59" t="str">
        <f>IFERROR(__xludf.DUMMYFUNCTION("""COMPUTED_VALUE"""),"U.S. Embassy Tokyo")</f>
        <v>U.S. Embassy Tokyo</v>
      </c>
      <c r="D492" s="59" t="str">
        <f>IFERROR(__xludf.DUMMYFUNCTION("""COMPUTED_VALUE"""),"Flickr")</f>
        <v>Flickr</v>
      </c>
      <c r="E492" s="60" t="str">
        <f>IFERROR(__xludf.DUMMYFUNCTION("""COMPUTED_VALUE"""),"https://www.flickr.com/photos/usembassytokyo/")</f>
        <v>https://www.flickr.com/photos/usembassytokyo/</v>
      </c>
    </row>
    <row r="493">
      <c r="A493" s="59" t="str">
        <f>IFERROR(__xludf.DUMMYFUNCTION("""COMPUTED_VALUE"""),"EAP")</f>
        <v>EAP</v>
      </c>
      <c r="B493" s="59" t="str">
        <f>IFERROR(__xludf.DUMMYFUNCTION("""COMPUTED_VALUE"""),"Japan")</f>
        <v>Japan</v>
      </c>
      <c r="C493" s="59" t="str">
        <f>IFERROR(__xludf.DUMMYFUNCTION("""COMPUTED_VALUE"""),"U.S. Embassy Tokyo")</f>
        <v>U.S. Embassy Tokyo</v>
      </c>
      <c r="D493" s="59" t="str">
        <f>IFERROR(__xludf.DUMMYFUNCTION("""COMPUTED_VALUE"""),"Instagram")</f>
        <v>Instagram</v>
      </c>
      <c r="E493" s="60" t="str">
        <f>IFERROR(__xludf.DUMMYFUNCTION("""COMPUTED_VALUE"""),"https://www.instagram.com/usembassytokyo/")</f>
        <v>https://www.instagram.com/usembassytokyo/</v>
      </c>
    </row>
    <row r="494">
      <c r="A494" s="59" t="str">
        <f>IFERROR(__xludf.DUMMYFUNCTION("""COMPUTED_VALUE"""),"EAP")</f>
        <v>EAP</v>
      </c>
      <c r="B494" s="59" t="str">
        <f>IFERROR(__xludf.DUMMYFUNCTION("""COMPUTED_VALUE"""),"Japan")</f>
        <v>Japan</v>
      </c>
      <c r="C494" s="59" t="str">
        <f>IFERROR(__xludf.DUMMYFUNCTION("""COMPUTED_VALUE"""),"U.S. Embassy Tokyo")</f>
        <v>U.S. Embassy Tokyo</v>
      </c>
      <c r="D494" s="59" t="str">
        <f>IFERROR(__xludf.DUMMYFUNCTION("""COMPUTED_VALUE"""),"X")</f>
        <v>X</v>
      </c>
      <c r="E494" s="60" t="str">
        <f>IFERROR(__xludf.DUMMYFUNCTION("""COMPUTED_VALUE"""),"https://x.com/usembassytokyo")</f>
        <v>https://x.com/usembassytokyo</v>
      </c>
    </row>
    <row r="495">
      <c r="A495" s="59" t="str">
        <f>IFERROR(__xludf.DUMMYFUNCTION("""COMPUTED_VALUE"""),"EAP")</f>
        <v>EAP</v>
      </c>
      <c r="B495" s="59" t="str">
        <f>IFERROR(__xludf.DUMMYFUNCTION("""COMPUTED_VALUE"""),"Japan")</f>
        <v>Japan</v>
      </c>
      <c r="C495" s="59" t="str">
        <f>IFERROR(__xludf.DUMMYFUNCTION("""COMPUTED_VALUE"""),"U.S. Embassy Tokyo")</f>
        <v>U.S. Embassy Tokyo</v>
      </c>
      <c r="D495" s="59" t="str">
        <f>IFERROR(__xludf.DUMMYFUNCTION("""COMPUTED_VALUE"""),"YouTube")</f>
        <v>YouTube</v>
      </c>
      <c r="E495" s="60" t="str">
        <f>IFERROR(__xludf.DUMMYFUNCTION("""COMPUTED_VALUE"""),"https://www.youtube.com/user/usembassytokyo")</f>
        <v>https://www.youtube.com/user/usembassytokyo</v>
      </c>
    </row>
    <row r="496">
      <c r="A496" s="59" t="str">
        <f>IFERROR(__xludf.DUMMYFUNCTION("""COMPUTED_VALUE"""),"EAP")</f>
        <v>EAP</v>
      </c>
      <c r="B496" s="59" t="str">
        <f>IFERROR(__xludf.DUMMYFUNCTION("""COMPUTED_VALUE"""),"Japan")</f>
        <v>Japan</v>
      </c>
      <c r="C496" s="59" t="str">
        <f>IFERROR(__xludf.DUMMYFUNCTION("""COMPUTED_VALUE"""),"U.S. Embassy Tokyo Visa Branch")</f>
        <v>U.S. Embassy Tokyo Visa Branch</v>
      </c>
      <c r="D496" s="59" t="str">
        <f>IFERROR(__xludf.DUMMYFUNCTION("""COMPUTED_VALUE"""),"X")</f>
        <v>X</v>
      </c>
      <c r="E496" s="60" t="str">
        <f>IFERROR(__xludf.DUMMYFUNCTION("""COMPUTED_VALUE"""),"https://x.com/USVisaTokyo")</f>
        <v>https://x.com/USVisaTokyo</v>
      </c>
    </row>
    <row r="497">
      <c r="A497" s="59" t="str">
        <f>IFERROR(__xludf.DUMMYFUNCTION("""COMPUTED_VALUE"""),"EAP")</f>
        <v>EAP</v>
      </c>
      <c r="B497" s="59" t="str">
        <f>IFERROR(__xludf.DUMMYFUNCTION("""COMPUTED_VALUE"""),"Laos")</f>
        <v>Laos</v>
      </c>
      <c r="C497" s="59" t="str">
        <f>IFERROR(__xludf.DUMMYFUNCTION("""COMPUTED_VALUE"""),"U.S. Embassy Vientiane")</f>
        <v>U.S. Embassy Vientiane</v>
      </c>
      <c r="D497" s="59" t="str">
        <f>IFERROR(__xludf.DUMMYFUNCTION("""COMPUTED_VALUE"""),"Facebook")</f>
        <v>Facebook</v>
      </c>
      <c r="E497" s="60" t="str">
        <f>IFERROR(__xludf.DUMMYFUNCTION("""COMPUTED_VALUE"""),"https://www.facebook.com/usembassyvte/")</f>
        <v>https://www.facebook.com/usembassyvte/</v>
      </c>
    </row>
    <row r="498">
      <c r="A498" s="59" t="str">
        <f>IFERROR(__xludf.DUMMYFUNCTION("""COMPUTED_VALUE"""),"EAP")</f>
        <v>EAP</v>
      </c>
      <c r="B498" s="59" t="str">
        <f>IFERROR(__xludf.DUMMYFUNCTION("""COMPUTED_VALUE"""),"Laos")</f>
        <v>Laos</v>
      </c>
      <c r="C498" s="59" t="str">
        <f>IFERROR(__xludf.DUMMYFUNCTION("""COMPUTED_VALUE"""),"U.S. Embassy Vientiane")</f>
        <v>U.S. Embassy Vientiane</v>
      </c>
      <c r="D498" s="59" t="str">
        <f>IFERROR(__xludf.DUMMYFUNCTION("""COMPUTED_VALUE"""),"YouTube")</f>
        <v>YouTube</v>
      </c>
      <c r="E498" s="60" t="str">
        <f>IFERROR(__xludf.DUMMYFUNCTION("""COMPUTED_VALUE"""),"https://youtube.com/@USEmbassyVientiane")</f>
        <v>https://youtube.com/@USEmbassyVientiane</v>
      </c>
    </row>
    <row r="499">
      <c r="A499" s="59" t="str">
        <f>IFERROR(__xludf.DUMMYFUNCTION("""COMPUTED_VALUE"""),"EAP")</f>
        <v>EAP</v>
      </c>
      <c r="B499" s="59" t="str">
        <f>IFERROR(__xludf.DUMMYFUNCTION("""COMPUTED_VALUE"""),"Malaysia")</f>
        <v>Malaysia</v>
      </c>
      <c r="C499" s="59" t="str">
        <f>IFERROR(__xludf.DUMMYFUNCTION("""COMPUTED_VALUE"""),"U.S. Embassy Kuala Lumpur")</f>
        <v>U.S. Embassy Kuala Lumpur</v>
      </c>
      <c r="D499" s="59" t="str">
        <f>IFERROR(__xludf.DUMMYFUNCTION("""COMPUTED_VALUE"""),"Facebook")</f>
        <v>Facebook</v>
      </c>
      <c r="E499" s="60" t="str">
        <f>IFERROR(__xludf.DUMMYFUNCTION("""COMPUTED_VALUE"""),"https://www.facebook.com/usembassykl/")</f>
        <v>https://www.facebook.com/usembassykl/</v>
      </c>
    </row>
    <row r="500">
      <c r="A500" s="59" t="str">
        <f>IFERROR(__xludf.DUMMYFUNCTION("""COMPUTED_VALUE"""),"EAP")</f>
        <v>EAP</v>
      </c>
      <c r="B500" s="59" t="str">
        <f>IFERROR(__xludf.DUMMYFUNCTION("""COMPUTED_VALUE"""),"Malaysia")</f>
        <v>Malaysia</v>
      </c>
      <c r="C500" s="59" t="str">
        <f>IFERROR(__xludf.DUMMYFUNCTION("""COMPUTED_VALUE"""),"U.S. Embassy Kuala Lumpur")</f>
        <v>U.S. Embassy Kuala Lumpur</v>
      </c>
      <c r="D500" s="59" t="str">
        <f>IFERROR(__xludf.DUMMYFUNCTION("""COMPUTED_VALUE"""),"Flickr")</f>
        <v>Flickr</v>
      </c>
      <c r="E500" s="60" t="str">
        <f>IFERROR(__xludf.DUMMYFUNCTION("""COMPUTED_VALUE"""),"https://www.flickr.com/photos/usembassykl/")</f>
        <v>https://www.flickr.com/photos/usembassykl/</v>
      </c>
    </row>
    <row r="501">
      <c r="A501" s="59" t="str">
        <f>IFERROR(__xludf.DUMMYFUNCTION("""COMPUTED_VALUE"""),"EAP")</f>
        <v>EAP</v>
      </c>
      <c r="B501" s="59" t="str">
        <f>IFERROR(__xludf.DUMMYFUNCTION("""COMPUTED_VALUE"""),"Malaysia")</f>
        <v>Malaysia</v>
      </c>
      <c r="C501" s="59" t="str">
        <f>IFERROR(__xludf.DUMMYFUNCTION("""COMPUTED_VALUE"""),"U.S. Embassy Kuala Lumpur")</f>
        <v>U.S. Embassy Kuala Lumpur</v>
      </c>
      <c r="D501" s="59" t="str">
        <f>IFERROR(__xludf.DUMMYFUNCTION("""COMPUTED_VALUE"""),"Instagram")</f>
        <v>Instagram</v>
      </c>
      <c r="E501" s="60" t="str">
        <f>IFERROR(__xludf.DUMMYFUNCTION("""COMPUTED_VALUE"""),"https://www.instagram.com/usembassykl")</f>
        <v>https://www.instagram.com/usembassykl</v>
      </c>
    </row>
    <row r="502">
      <c r="A502" s="59" t="str">
        <f>IFERROR(__xludf.DUMMYFUNCTION("""COMPUTED_VALUE"""),"EAP")</f>
        <v>EAP</v>
      </c>
      <c r="B502" s="59" t="str">
        <f>IFERROR(__xludf.DUMMYFUNCTION("""COMPUTED_VALUE"""),"Malaysia")</f>
        <v>Malaysia</v>
      </c>
      <c r="C502" s="59" t="str">
        <f>IFERROR(__xludf.DUMMYFUNCTION("""COMPUTED_VALUE"""),"U.S. Embassy Kuala Lumpur")</f>
        <v>U.S. Embassy Kuala Lumpur</v>
      </c>
      <c r="D502" s="59" t="str">
        <f>IFERROR(__xludf.DUMMYFUNCTION("""COMPUTED_VALUE"""),"LinkedIn")</f>
        <v>LinkedIn</v>
      </c>
      <c r="E502" s="60" t="str">
        <f>IFERROR(__xludf.DUMMYFUNCTION("""COMPUTED_VALUE"""),"https://www.linkedin.com/company/usembassykl/")</f>
        <v>https://www.linkedin.com/company/usembassykl/</v>
      </c>
    </row>
    <row r="503">
      <c r="A503" s="59" t="str">
        <f>IFERROR(__xludf.DUMMYFUNCTION("""COMPUTED_VALUE"""),"EAP")</f>
        <v>EAP</v>
      </c>
      <c r="B503" s="59" t="str">
        <f>IFERROR(__xludf.DUMMYFUNCTION("""COMPUTED_VALUE"""),"Malaysia")</f>
        <v>Malaysia</v>
      </c>
      <c r="C503" s="59" t="str">
        <f>IFERROR(__xludf.DUMMYFUNCTION("""COMPUTED_VALUE"""),"U.S. Embassy Kuala Lumpur")</f>
        <v>U.S. Embassy Kuala Lumpur</v>
      </c>
      <c r="D503" s="59" t="str">
        <f>IFERROR(__xludf.DUMMYFUNCTION("""COMPUTED_VALUE"""),"X")</f>
        <v>X</v>
      </c>
      <c r="E503" s="60" t="str">
        <f>IFERROR(__xludf.DUMMYFUNCTION("""COMPUTED_VALUE"""),"https://x.com/usembassykl")</f>
        <v>https://x.com/usembassykl</v>
      </c>
    </row>
    <row r="504">
      <c r="A504" s="59" t="str">
        <f>IFERROR(__xludf.DUMMYFUNCTION("""COMPUTED_VALUE"""),"EAP")</f>
        <v>EAP</v>
      </c>
      <c r="B504" s="59" t="str">
        <f>IFERROR(__xludf.DUMMYFUNCTION("""COMPUTED_VALUE"""),"Malaysia")</f>
        <v>Malaysia</v>
      </c>
      <c r="C504" s="59" t="str">
        <f>IFERROR(__xludf.DUMMYFUNCTION("""COMPUTED_VALUE"""),"U.S. Ambassador to Kuala Lumpur")</f>
        <v>U.S. Ambassador to Kuala Lumpur</v>
      </c>
      <c r="D504" s="59" t="str">
        <f>IFERROR(__xludf.DUMMYFUNCTION("""COMPUTED_VALUE"""),"X")</f>
        <v>X</v>
      </c>
      <c r="E504" s="60" t="str">
        <f>IFERROR(__xludf.DUMMYFUNCTION("""COMPUTED_VALUE"""),"https://x.com/USAmbKL")</f>
        <v>https://x.com/USAmbKL</v>
      </c>
    </row>
    <row r="505">
      <c r="A505" s="59" t="str">
        <f>IFERROR(__xludf.DUMMYFUNCTION("""COMPUTED_VALUE"""),"EAP")</f>
        <v>EAP</v>
      </c>
      <c r="B505" s="59" t="str">
        <f>IFERROR(__xludf.DUMMYFUNCTION("""COMPUTED_VALUE"""),"Malaysia")</f>
        <v>Malaysia</v>
      </c>
      <c r="C505" s="59" t="str">
        <f>IFERROR(__xludf.DUMMYFUNCTION("""COMPUTED_VALUE"""),"U.S. Embassy Kuala Lumpur")</f>
        <v>U.S. Embassy Kuala Lumpur</v>
      </c>
      <c r="D505" s="59" t="str">
        <f>IFERROR(__xludf.DUMMYFUNCTION("""COMPUTED_VALUE"""),"YouTube")</f>
        <v>YouTube</v>
      </c>
      <c r="E505" s="60" t="str">
        <f>IFERROR(__xludf.DUMMYFUNCTION("""COMPUTED_VALUE"""),"https://youtube.com/@usembassykl")</f>
        <v>https://youtube.com/@usembassykl</v>
      </c>
    </row>
    <row r="506">
      <c r="A506" s="59" t="str">
        <f>IFERROR(__xludf.DUMMYFUNCTION("""COMPUTED_VALUE"""),"EAP")</f>
        <v>EAP</v>
      </c>
      <c r="B506" s="59" t="str">
        <f>IFERROR(__xludf.DUMMYFUNCTION("""COMPUTED_VALUE"""),"Marshall Islands")</f>
        <v>Marshall Islands</v>
      </c>
      <c r="C506" s="59" t="str">
        <f>IFERROR(__xludf.DUMMYFUNCTION("""COMPUTED_VALUE"""),"U.S. Embassy Majuro")</f>
        <v>U.S. Embassy Majuro</v>
      </c>
      <c r="D506" s="59" t="str">
        <f>IFERROR(__xludf.DUMMYFUNCTION("""COMPUTED_VALUE"""),"Facebook")</f>
        <v>Facebook</v>
      </c>
      <c r="E506" s="60" t="str">
        <f>IFERROR(__xludf.DUMMYFUNCTION("""COMPUTED_VALUE"""),"https://www.facebook.com/usembassymajuro/")</f>
        <v>https://www.facebook.com/usembassymajuro/</v>
      </c>
    </row>
    <row r="507">
      <c r="A507" s="59" t="str">
        <f>IFERROR(__xludf.DUMMYFUNCTION("""COMPUTED_VALUE"""),"EAP")</f>
        <v>EAP</v>
      </c>
      <c r="B507" s="59" t="str">
        <f>IFERROR(__xludf.DUMMYFUNCTION("""COMPUTED_VALUE"""),"Marshall Islands")</f>
        <v>Marshall Islands</v>
      </c>
      <c r="C507" s="59" t="str">
        <f>IFERROR(__xludf.DUMMYFUNCTION("""COMPUTED_VALUE"""),"U.S. Embassy Majuro")</f>
        <v>U.S. Embassy Majuro</v>
      </c>
      <c r="D507" s="59" t="str">
        <f>IFERROR(__xludf.DUMMYFUNCTION("""COMPUTED_VALUE"""),"Instagram")</f>
        <v>Instagram</v>
      </c>
      <c r="E507" s="60" t="str">
        <f>IFERROR(__xludf.DUMMYFUNCTION("""COMPUTED_VALUE"""),"https://www.instagram.com/usembassymajuro/")</f>
        <v>https://www.instagram.com/usembassymajuro/</v>
      </c>
    </row>
    <row r="508">
      <c r="A508" s="59" t="str">
        <f>IFERROR(__xludf.DUMMYFUNCTION("""COMPUTED_VALUE"""),"EAP")</f>
        <v>EAP</v>
      </c>
      <c r="B508" s="59" t="str">
        <f>IFERROR(__xludf.DUMMYFUNCTION("""COMPUTED_VALUE"""),"Mongolia")</f>
        <v>Mongolia</v>
      </c>
      <c r="C508" s="59" t="str">
        <f>IFERROR(__xludf.DUMMYFUNCTION("""COMPUTED_VALUE"""),"U.S. Ambassador to Mongolia")</f>
        <v>U.S. Ambassador to Mongolia</v>
      </c>
      <c r="D508" s="59" t="str">
        <f>IFERROR(__xludf.DUMMYFUNCTION("""COMPUTED_VALUE"""),"X")</f>
        <v>X</v>
      </c>
      <c r="E508" s="60" t="str">
        <f>IFERROR(__xludf.DUMMYFUNCTION("""COMPUTED_VALUE"""),"https://x.com/USAmbMongolia")</f>
        <v>https://x.com/USAmbMongolia</v>
      </c>
    </row>
    <row r="509">
      <c r="A509" s="59" t="str">
        <f>IFERROR(__xludf.DUMMYFUNCTION("""COMPUTED_VALUE"""),"EAP")</f>
        <v>EAP</v>
      </c>
      <c r="B509" s="59" t="str">
        <f>IFERROR(__xludf.DUMMYFUNCTION("""COMPUTED_VALUE"""),"Mongolia")</f>
        <v>Mongolia</v>
      </c>
      <c r="C509" s="59" t="str">
        <f>IFERROR(__xludf.DUMMYFUNCTION("""COMPUTED_VALUE"""),"U.S. Embassy Ulaanbaatar")</f>
        <v>U.S. Embassy Ulaanbaatar</v>
      </c>
      <c r="D509" s="59" t="str">
        <f>IFERROR(__xludf.DUMMYFUNCTION("""COMPUTED_VALUE"""),"Facebook")</f>
        <v>Facebook</v>
      </c>
      <c r="E509" s="60" t="str">
        <f>IFERROR(__xludf.DUMMYFUNCTION("""COMPUTED_VALUE"""),"https://www.facebook.com/USEmbMongolia/")</f>
        <v>https://www.facebook.com/USEmbMongolia/</v>
      </c>
    </row>
    <row r="510">
      <c r="A510" s="59" t="str">
        <f>IFERROR(__xludf.DUMMYFUNCTION("""COMPUTED_VALUE"""),"EAP")</f>
        <v>EAP</v>
      </c>
      <c r="B510" s="59" t="str">
        <f>IFERROR(__xludf.DUMMYFUNCTION("""COMPUTED_VALUE"""),"Mongolia")</f>
        <v>Mongolia</v>
      </c>
      <c r="C510" s="59" t="str">
        <f>IFERROR(__xludf.DUMMYFUNCTION("""COMPUTED_VALUE"""),"U.S. Embassy Ulaanbaatar")</f>
        <v>U.S. Embassy Ulaanbaatar</v>
      </c>
      <c r="D510" s="59" t="str">
        <f>IFERROR(__xludf.DUMMYFUNCTION("""COMPUTED_VALUE"""),"Instagram")</f>
        <v>Instagram</v>
      </c>
      <c r="E510" s="60" t="str">
        <f>IFERROR(__xludf.DUMMYFUNCTION("""COMPUTED_VALUE"""),"https://www.instagram.com/usembmongolia")</f>
        <v>https://www.instagram.com/usembmongolia</v>
      </c>
    </row>
    <row r="511">
      <c r="A511" s="59" t="str">
        <f>IFERROR(__xludf.DUMMYFUNCTION("""COMPUTED_VALUE"""),"EAP")</f>
        <v>EAP</v>
      </c>
      <c r="B511" s="59" t="str">
        <f>IFERROR(__xludf.DUMMYFUNCTION("""COMPUTED_VALUE"""),"Mongolia")</f>
        <v>Mongolia</v>
      </c>
      <c r="C511" s="59" t="str">
        <f>IFERROR(__xludf.DUMMYFUNCTION("""COMPUTED_VALUE"""),"U.S. Embassy Ulaanbaatar")</f>
        <v>U.S. Embassy Ulaanbaatar</v>
      </c>
      <c r="D511" s="59" t="str">
        <f>IFERROR(__xludf.DUMMYFUNCTION("""COMPUTED_VALUE"""),"X")</f>
        <v>X</v>
      </c>
      <c r="E511" s="60" t="str">
        <f>IFERROR(__xludf.DUMMYFUNCTION("""COMPUTED_VALUE"""),"https://x.com/usembmongolia")</f>
        <v>https://x.com/usembmongolia</v>
      </c>
    </row>
    <row r="512">
      <c r="A512" s="59" t="str">
        <f>IFERROR(__xludf.DUMMYFUNCTION("""COMPUTED_VALUE"""),"EAP")</f>
        <v>EAP</v>
      </c>
      <c r="B512" s="59" t="str">
        <f>IFERROR(__xludf.DUMMYFUNCTION("""COMPUTED_VALUE"""),"Mongolia")</f>
        <v>Mongolia</v>
      </c>
      <c r="C512" s="59" t="str">
        <f>IFERROR(__xludf.DUMMYFUNCTION("""COMPUTED_VALUE"""),"U.S. Embassy Ulaanbaatar")</f>
        <v>U.S. Embassy Ulaanbaatar</v>
      </c>
      <c r="D512" s="59" t="str">
        <f>IFERROR(__xludf.DUMMYFUNCTION("""COMPUTED_VALUE"""),"YouTube")</f>
        <v>YouTube</v>
      </c>
      <c r="E512" s="60" t="str">
        <f>IFERROR(__xludf.DUMMYFUNCTION("""COMPUTED_VALUE"""),"https://youtube.com/@USAinMongolia")</f>
        <v>https://youtube.com/@USAinMongolia</v>
      </c>
    </row>
    <row r="513">
      <c r="A513" s="59" t="str">
        <f>IFERROR(__xludf.DUMMYFUNCTION("""COMPUTED_VALUE"""),"EAP")</f>
        <v>EAP</v>
      </c>
      <c r="B513" s="59" t="str">
        <f>IFERROR(__xludf.DUMMYFUNCTION("""COMPUTED_VALUE"""),"New Zealand")</f>
        <v>New Zealand</v>
      </c>
      <c r="C513" s="59" t="str">
        <f>IFERROR(__xludf.DUMMYFUNCTION("""COMPUTED_VALUE"""),"U.S. Ambassador to New Zealand")</f>
        <v>U.S. Ambassador to New Zealand</v>
      </c>
      <c r="D513" s="59" t="str">
        <f>IFERROR(__xludf.DUMMYFUNCTION("""COMPUTED_VALUE"""),"X")</f>
        <v>X</v>
      </c>
      <c r="E513" s="60" t="str">
        <f>IFERROR(__xludf.DUMMYFUNCTION("""COMPUTED_VALUE"""),"https://x.com/USAmbNZ")</f>
        <v>https://x.com/USAmbNZ</v>
      </c>
    </row>
    <row r="514">
      <c r="A514" s="59" t="str">
        <f>IFERROR(__xludf.DUMMYFUNCTION("""COMPUTED_VALUE"""),"EAP")</f>
        <v>EAP</v>
      </c>
      <c r="B514" s="59" t="str">
        <f>IFERROR(__xludf.DUMMYFUNCTION("""COMPUTED_VALUE"""),"New Zealand")</f>
        <v>New Zealand</v>
      </c>
      <c r="C514" s="59" t="str">
        <f>IFERROR(__xludf.DUMMYFUNCTION("""COMPUTED_VALUE"""),"U.S. Embassy Wellington")</f>
        <v>U.S. Embassy Wellington</v>
      </c>
      <c r="D514" s="59" t="str">
        <f>IFERROR(__xludf.DUMMYFUNCTION("""COMPUTED_VALUE"""),"Facebook")</f>
        <v>Facebook</v>
      </c>
      <c r="E514" s="60" t="str">
        <f>IFERROR(__xludf.DUMMYFUNCTION("""COMPUTED_VALUE"""),"https://www.facebook.com/newzealand.usembassy/")</f>
        <v>https://www.facebook.com/newzealand.usembassy/</v>
      </c>
    </row>
    <row r="515">
      <c r="A515" s="59" t="str">
        <f>IFERROR(__xludf.DUMMYFUNCTION("""COMPUTED_VALUE"""),"EAP")</f>
        <v>EAP</v>
      </c>
      <c r="B515" s="59" t="str">
        <f>IFERROR(__xludf.DUMMYFUNCTION("""COMPUTED_VALUE"""),"New Zealand")</f>
        <v>New Zealand</v>
      </c>
      <c r="C515" s="59" t="str">
        <f>IFERROR(__xludf.DUMMYFUNCTION("""COMPUTED_VALUE"""),"U.S. Embassy Wellington")</f>
        <v>U.S. Embassy Wellington</v>
      </c>
      <c r="D515" s="59" t="str">
        <f>IFERROR(__xludf.DUMMYFUNCTION("""COMPUTED_VALUE"""),"Flickr")</f>
        <v>Flickr</v>
      </c>
      <c r="E515" s="60" t="str">
        <f>IFERROR(__xludf.DUMMYFUNCTION("""COMPUTED_VALUE"""),"https://www.flickr.com/photos/us_embassy_newzealand/")</f>
        <v>https://www.flickr.com/photos/us_embassy_newzealand/</v>
      </c>
    </row>
    <row r="516">
      <c r="A516" s="59" t="str">
        <f>IFERROR(__xludf.DUMMYFUNCTION("""COMPUTED_VALUE"""),"EAP")</f>
        <v>EAP</v>
      </c>
      <c r="B516" s="59" t="str">
        <f>IFERROR(__xludf.DUMMYFUNCTION("""COMPUTED_VALUE"""),"New Zealand")</f>
        <v>New Zealand</v>
      </c>
      <c r="C516" s="59" t="str">
        <f>IFERROR(__xludf.DUMMYFUNCTION("""COMPUTED_VALUE"""),"U.S. Embassy Wellington")</f>
        <v>U.S. Embassy Wellington</v>
      </c>
      <c r="D516" s="59" t="str">
        <f>IFERROR(__xludf.DUMMYFUNCTION("""COMPUTED_VALUE"""),"Instagram")</f>
        <v>Instagram</v>
      </c>
      <c r="E516" s="60" t="str">
        <f>IFERROR(__xludf.DUMMYFUNCTION("""COMPUTED_VALUE"""),"https://www.instagram.com/usembassynz")</f>
        <v>https://www.instagram.com/usembassynz</v>
      </c>
    </row>
    <row r="517">
      <c r="A517" s="59" t="str">
        <f>IFERROR(__xludf.DUMMYFUNCTION("""COMPUTED_VALUE"""),"EAP")</f>
        <v>EAP</v>
      </c>
      <c r="B517" s="59" t="str">
        <f>IFERROR(__xludf.DUMMYFUNCTION("""COMPUTED_VALUE"""),"New Zealand")</f>
        <v>New Zealand</v>
      </c>
      <c r="C517" s="59" t="str">
        <f>IFERROR(__xludf.DUMMYFUNCTION("""COMPUTED_VALUE"""),"U.S. Embassy Wellington")</f>
        <v>U.S. Embassy Wellington</v>
      </c>
      <c r="D517" s="59" t="str">
        <f>IFERROR(__xludf.DUMMYFUNCTION("""COMPUTED_VALUE"""),"X")</f>
        <v>X</v>
      </c>
      <c r="E517" s="60" t="str">
        <f>IFERROR(__xludf.DUMMYFUNCTION("""COMPUTED_VALUE"""),"https://x.com/usembassynz")</f>
        <v>https://x.com/usembassynz</v>
      </c>
    </row>
    <row r="518">
      <c r="A518" s="59" t="str">
        <f>IFERROR(__xludf.DUMMYFUNCTION("""COMPUTED_VALUE"""),"EAP")</f>
        <v>EAP</v>
      </c>
      <c r="B518" s="59" t="str">
        <f>IFERROR(__xludf.DUMMYFUNCTION("""COMPUTED_VALUE"""),"New Zealand")</f>
        <v>New Zealand</v>
      </c>
      <c r="C518" s="59" t="str">
        <f>IFERROR(__xludf.DUMMYFUNCTION("""COMPUTED_VALUE"""),"U.S. Embassy Wellington")</f>
        <v>U.S. Embassy Wellington</v>
      </c>
      <c r="D518" s="59" t="str">
        <f>IFERROR(__xludf.DUMMYFUNCTION("""COMPUTED_VALUE"""),"YouTube")</f>
        <v>YouTube</v>
      </c>
      <c r="E518" s="60" t="str">
        <f>IFERROR(__xludf.DUMMYFUNCTION("""COMPUTED_VALUE"""),"https://youtube.com/@usembassynewzealand")</f>
        <v>https://youtube.com/@usembassynewzealand</v>
      </c>
    </row>
    <row r="519">
      <c r="A519" s="59" t="str">
        <f>IFERROR(__xludf.DUMMYFUNCTION("""COMPUTED_VALUE"""),"EAP")</f>
        <v>EAP</v>
      </c>
      <c r="B519" s="59" t="str">
        <f>IFERROR(__xludf.DUMMYFUNCTION("""COMPUTED_VALUE"""),"Palau")</f>
        <v>Palau</v>
      </c>
      <c r="C519" s="59" t="str">
        <f>IFERROR(__xludf.DUMMYFUNCTION("""COMPUTED_VALUE"""),"U.S. Embassy Koror")</f>
        <v>U.S. Embassy Koror</v>
      </c>
      <c r="D519" s="59" t="str">
        <f>IFERROR(__xludf.DUMMYFUNCTION("""COMPUTED_VALUE"""),"Facebook")</f>
        <v>Facebook</v>
      </c>
      <c r="E519" s="60" t="str">
        <f>IFERROR(__xludf.DUMMYFUNCTION("""COMPUTED_VALUE"""),"https://www.facebook.com/usembassykoror/")</f>
        <v>https://www.facebook.com/usembassykoror/</v>
      </c>
    </row>
    <row r="520">
      <c r="A520" s="59" t="str">
        <f>IFERROR(__xludf.DUMMYFUNCTION("""COMPUTED_VALUE"""),"EAP")</f>
        <v>EAP</v>
      </c>
      <c r="B520" s="59" t="str">
        <f>IFERROR(__xludf.DUMMYFUNCTION("""COMPUTED_VALUE"""),"Papua New Guinea")</f>
        <v>Papua New Guinea</v>
      </c>
      <c r="C520" s="59" t="str">
        <f>IFERROR(__xludf.DUMMYFUNCTION("""COMPUTED_VALUE"""),"U.S. Embassy Port Moresby")</f>
        <v>U.S. Embassy Port Moresby</v>
      </c>
      <c r="D520" s="59" t="str">
        <f>IFERROR(__xludf.DUMMYFUNCTION("""COMPUTED_VALUE"""),"Facebook")</f>
        <v>Facebook</v>
      </c>
      <c r="E520" s="60" t="str">
        <f>IFERROR(__xludf.DUMMYFUNCTION("""COMPUTED_VALUE"""),"https://www.facebook.com/usembassyportmoresby/")</f>
        <v>https://www.facebook.com/usembassyportmoresby/</v>
      </c>
    </row>
    <row r="521">
      <c r="A521" s="59" t="str">
        <f>IFERROR(__xludf.DUMMYFUNCTION("""COMPUTED_VALUE"""),"EAP")</f>
        <v>EAP</v>
      </c>
      <c r="B521" s="59" t="str">
        <f>IFERROR(__xludf.DUMMYFUNCTION("""COMPUTED_VALUE"""),"Papua New Guinea")</f>
        <v>Papua New Guinea</v>
      </c>
      <c r="C521" s="59" t="str">
        <f>IFERROR(__xludf.DUMMYFUNCTION("""COMPUTED_VALUE"""),"U.S. Embassy Port Moresby")</f>
        <v>U.S. Embassy Port Moresby</v>
      </c>
      <c r="D521" s="59" t="str">
        <f>IFERROR(__xludf.DUMMYFUNCTION("""COMPUTED_VALUE"""),"X")</f>
        <v>X</v>
      </c>
      <c r="E521" s="60" t="str">
        <f>IFERROR(__xludf.DUMMYFUNCTION("""COMPUTED_VALUE"""),"https://x.com/USEmbassyPOM")</f>
        <v>https://x.com/USEmbassyPOM</v>
      </c>
    </row>
    <row r="522">
      <c r="A522" s="59" t="str">
        <f>IFERROR(__xludf.DUMMYFUNCTION("""COMPUTED_VALUE"""),"EAP")</f>
        <v>EAP</v>
      </c>
      <c r="B522" s="59" t="str">
        <f>IFERROR(__xludf.DUMMYFUNCTION("""COMPUTED_VALUE"""),"Philippines")</f>
        <v>Philippines</v>
      </c>
      <c r="C522" s="59" t="str">
        <f>IFERROR(__xludf.DUMMYFUNCTION("""COMPUTED_VALUE"""),"U.S. Ambassador to the Philippines")</f>
        <v>U.S. Ambassador to the Philippines</v>
      </c>
      <c r="D522" s="59" t="str">
        <f>IFERROR(__xludf.DUMMYFUNCTION("""COMPUTED_VALUE"""),"X")</f>
        <v>X</v>
      </c>
      <c r="E522" s="60" t="str">
        <f>IFERROR(__xludf.DUMMYFUNCTION("""COMPUTED_VALUE"""),"https://x.com/USAmbPH")</f>
        <v>https://x.com/USAmbPH</v>
      </c>
    </row>
    <row r="523">
      <c r="A523" s="59" t="str">
        <f>IFERROR(__xludf.DUMMYFUNCTION("""COMPUTED_VALUE"""),"EAP")</f>
        <v>EAP</v>
      </c>
      <c r="B523" s="59" t="str">
        <f>IFERROR(__xludf.DUMMYFUNCTION("""COMPUTED_VALUE"""),"Philippines")</f>
        <v>Philippines</v>
      </c>
      <c r="C523" s="59" t="str">
        <f>IFERROR(__xludf.DUMMYFUNCTION("""COMPUTED_VALUE"""),"U.S. Embassy Manila")</f>
        <v>U.S. Embassy Manila</v>
      </c>
      <c r="D523" s="59" t="str">
        <f>IFERROR(__xludf.DUMMYFUNCTION("""COMPUTED_VALUE"""),"Facebook")</f>
        <v>Facebook</v>
      </c>
      <c r="E523" s="60" t="str">
        <f>IFERROR(__xludf.DUMMYFUNCTION("""COMPUTED_VALUE"""),"https://www.facebook.com/USEmbassyPH/")</f>
        <v>https://www.facebook.com/USEmbassyPH/</v>
      </c>
    </row>
    <row r="524">
      <c r="A524" s="59" t="str">
        <f>IFERROR(__xludf.DUMMYFUNCTION("""COMPUTED_VALUE"""),"EAP")</f>
        <v>EAP</v>
      </c>
      <c r="B524" s="59" t="str">
        <f>IFERROR(__xludf.DUMMYFUNCTION("""COMPUTED_VALUE"""),"Philippines")</f>
        <v>Philippines</v>
      </c>
      <c r="C524" s="59" t="str">
        <f>IFERROR(__xludf.DUMMYFUNCTION("""COMPUTED_VALUE"""),"U.S. Embassy Manila")</f>
        <v>U.S. Embassy Manila</v>
      </c>
      <c r="D524" s="59" t="str">
        <f>IFERROR(__xludf.DUMMYFUNCTION("""COMPUTED_VALUE"""),"Instagram")</f>
        <v>Instagram</v>
      </c>
      <c r="E524" s="60" t="str">
        <f>IFERROR(__xludf.DUMMYFUNCTION("""COMPUTED_VALUE"""),"https://www.instagram.com/usembassyph")</f>
        <v>https://www.instagram.com/usembassyph</v>
      </c>
    </row>
    <row r="525">
      <c r="A525" s="59" t="str">
        <f>IFERROR(__xludf.DUMMYFUNCTION("""COMPUTED_VALUE"""),"EAP")</f>
        <v>EAP</v>
      </c>
      <c r="B525" s="59" t="str">
        <f>IFERROR(__xludf.DUMMYFUNCTION("""COMPUTED_VALUE"""),"Philippines")</f>
        <v>Philippines</v>
      </c>
      <c r="C525" s="59" t="str">
        <f>IFERROR(__xludf.DUMMYFUNCTION("""COMPUTED_VALUE"""),"U.S. Embassy Manila")</f>
        <v>U.S. Embassy Manila</v>
      </c>
      <c r="D525" s="59" t="str">
        <f>IFERROR(__xludf.DUMMYFUNCTION("""COMPUTED_VALUE"""),"LinkedIn")</f>
        <v>LinkedIn</v>
      </c>
      <c r="E525" s="60" t="str">
        <f>IFERROR(__xludf.DUMMYFUNCTION("""COMPUTED_VALUE"""),"https://www.linkedin.com/company/usembassyph/")</f>
        <v>https://www.linkedin.com/company/usembassyph/</v>
      </c>
    </row>
    <row r="526">
      <c r="A526" s="59" t="str">
        <f>IFERROR(__xludf.DUMMYFUNCTION("""COMPUTED_VALUE"""),"EAP")</f>
        <v>EAP</v>
      </c>
      <c r="B526" s="59" t="str">
        <f>IFERROR(__xludf.DUMMYFUNCTION("""COMPUTED_VALUE"""),"Philippines")</f>
        <v>Philippines</v>
      </c>
      <c r="C526" s="59" t="str">
        <f>IFERROR(__xludf.DUMMYFUNCTION("""COMPUTED_VALUE"""),"U.S. Embassy Manila")</f>
        <v>U.S. Embassy Manila</v>
      </c>
      <c r="D526" s="59" t="str">
        <f>IFERROR(__xludf.DUMMYFUNCTION("""COMPUTED_VALUE"""),"YouTube")</f>
        <v>YouTube</v>
      </c>
      <c r="E526" s="60" t="str">
        <f>IFERROR(__xludf.DUMMYFUNCTION("""COMPUTED_VALUE"""),"https://www.youtube.com/@USEmbassyPH/")</f>
        <v>https://www.youtube.com/@USEmbassyPH/</v>
      </c>
    </row>
    <row r="527">
      <c r="A527" s="59" t="str">
        <f>IFERROR(__xludf.DUMMYFUNCTION("""COMPUTED_VALUE"""),"EAP")</f>
        <v>EAP</v>
      </c>
      <c r="B527" s="59" t="str">
        <f>IFERROR(__xludf.DUMMYFUNCTION("""COMPUTED_VALUE"""),"Philippines")</f>
        <v>Philippines</v>
      </c>
      <c r="C527" s="59" t="str">
        <f>IFERROR(__xludf.DUMMYFUNCTION("""COMPUTED_VALUE"""),"U.S. Embassy Manila")</f>
        <v>U.S. Embassy Manila</v>
      </c>
      <c r="D527" s="59" t="str">
        <f>IFERROR(__xludf.DUMMYFUNCTION("""COMPUTED_VALUE"""),"X")</f>
        <v>X</v>
      </c>
      <c r="E527" s="60" t="str">
        <f>IFERROR(__xludf.DUMMYFUNCTION("""COMPUTED_VALUE"""),"https://x.com/usembassyph")</f>
        <v>https://x.com/usembassyph</v>
      </c>
    </row>
    <row r="528">
      <c r="A528" s="59" t="str">
        <f>IFERROR(__xludf.DUMMYFUNCTION("""COMPUTED_VALUE"""),"EAP")</f>
        <v>EAP</v>
      </c>
      <c r="B528" s="59" t="str">
        <f>IFERROR(__xludf.DUMMYFUNCTION("""COMPUTED_VALUE"""),"Samoa")</f>
        <v>Samoa</v>
      </c>
      <c r="C528" s="59" t="str">
        <f>IFERROR(__xludf.DUMMYFUNCTION("""COMPUTED_VALUE"""),"U.S. Embassy Apia")</f>
        <v>U.S. Embassy Apia</v>
      </c>
      <c r="D528" s="59" t="str">
        <f>IFERROR(__xludf.DUMMYFUNCTION("""COMPUTED_VALUE"""),"Facebook")</f>
        <v>Facebook</v>
      </c>
      <c r="E528" s="60" t="str">
        <f>IFERROR(__xludf.DUMMYFUNCTION("""COMPUTED_VALUE"""),"https://www.facebook.com/samoa.usembassy/")</f>
        <v>https://www.facebook.com/samoa.usembassy/</v>
      </c>
    </row>
    <row r="529">
      <c r="A529" s="59" t="str">
        <f>IFERROR(__xludf.DUMMYFUNCTION("""COMPUTED_VALUE"""),"EAP")</f>
        <v>EAP</v>
      </c>
      <c r="B529" s="59" t="str">
        <f>IFERROR(__xludf.DUMMYFUNCTION("""COMPUTED_VALUE"""),"Samoa")</f>
        <v>Samoa</v>
      </c>
      <c r="C529" s="59" t="str">
        <f>IFERROR(__xludf.DUMMYFUNCTION("""COMPUTED_VALUE"""),"U.S. Embassy Apia")</f>
        <v>U.S. Embassy Apia</v>
      </c>
      <c r="D529" s="59" t="str">
        <f>IFERROR(__xludf.DUMMYFUNCTION("""COMPUTED_VALUE"""),"Instagram")</f>
        <v>Instagram</v>
      </c>
      <c r="E529" s="60" t="str">
        <f>IFERROR(__xludf.DUMMYFUNCTION("""COMPUTED_VALUE"""),"https://instagram.com/usembassysamoa")</f>
        <v>https://instagram.com/usembassysamoa</v>
      </c>
    </row>
    <row r="530">
      <c r="A530" s="59" t="str">
        <f>IFERROR(__xludf.DUMMYFUNCTION("""COMPUTED_VALUE"""),"EAP")</f>
        <v>EAP</v>
      </c>
      <c r="B530" s="59" t="str">
        <f>IFERROR(__xludf.DUMMYFUNCTION("""COMPUTED_VALUE"""),"Samoa")</f>
        <v>Samoa</v>
      </c>
      <c r="C530" s="59" t="str">
        <f>IFERROR(__xludf.DUMMYFUNCTION("""COMPUTED_VALUE"""),"U.S. Embassy Apia")</f>
        <v>U.S. Embassy Apia</v>
      </c>
      <c r="D530" s="59" t="str">
        <f>IFERROR(__xludf.DUMMYFUNCTION("""COMPUTED_VALUE"""),"X")</f>
        <v>X</v>
      </c>
      <c r="E530" s="60" t="str">
        <f>IFERROR(__xludf.DUMMYFUNCTION("""COMPUTED_VALUE"""),"https://x.com/usembassysamoa")</f>
        <v>https://x.com/usembassysamoa</v>
      </c>
    </row>
    <row r="531">
      <c r="A531" s="59" t="str">
        <f>IFERROR(__xludf.DUMMYFUNCTION("""COMPUTED_VALUE"""),"EAP")</f>
        <v>EAP</v>
      </c>
      <c r="B531" s="59" t="str">
        <f>IFERROR(__xludf.DUMMYFUNCTION("""COMPUTED_VALUE"""),"Singapore")</f>
        <v>Singapore</v>
      </c>
      <c r="C531" s="59" t="str">
        <f>IFERROR(__xludf.DUMMYFUNCTION("""COMPUTED_VALUE"""),"U.S. Ambassador to Singapore")</f>
        <v>U.S. Ambassador to Singapore</v>
      </c>
      <c r="D531" s="59" t="str">
        <f>IFERROR(__xludf.DUMMYFUNCTION("""COMPUTED_VALUE"""),"Instagram")</f>
        <v>Instagram</v>
      </c>
      <c r="E531" s="60" t="str">
        <f>IFERROR(__xludf.DUMMYFUNCTION("""COMPUTED_VALUE"""),"https://www.instagram.com/usambsg/")</f>
        <v>https://www.instagram.com/usambsg/</v>
      </c>
    </row>
    <row r="532">
      <c r="A532" s="59" t="str">
        <f>IFERROR(__xludf.DUMMYFUNCTION("""COMPUTED_VALUE"""),"EAP")</f>
        <v>EAP</v>
      </c>
      <c r="B532" s="59" t="str">
        <f>IFERROR(__xludf.DUMMYFUNCTION("""COMPUTED_VALUE"""),"Singapore")</f>
        <v>Singapore</v>
      </c>
      <c r="C532" s="59" t="str">
        <f>IFERROR(__xludf.DUMMYFUNCTION("""COMPUTED_VALUE"""),"U.S. Ambassador to Singapore")</f>
        <v>U.S. Ambassador to Singapore</v>
      </c>
      <c r="D532" s="59" t="str">
        <f>IFERROR(__xludf.DUMMYFUNCTION("""COMPUTED_VALUE"""),"Threads")</f>
        <v>Threads</v>
      </c>
      <c r="E532" s="60" t="str">
        <f>IFERROR(__xludf.DUMMYFUNCTION("""COMPUTED_VALUE"""),"https://www.threads.net/@usambsg")</f>
        <v>https://www.threads.net/@usambsg</v>
      </c>
    </row>
    <row r="533">
      <c r="A533" s="59" t="str">
        <f>IFERROR(__xludf.DUMMYFUNCTION("""COMPUTED_VALUE"""),"EAP")</f>
        <v>EAP</v>
      </c>
      <c r="B533" s="59" t="str">
        <f>IFERROR(__xludf.DUMMYFUNCTION("""COMPUTED_VALUE"""),"Singapore")</f>
        <v>Singapore</v>
      </c>
      <c r="C533" s="59" t="str">
        <f>IFERROR(__xludf.DUMMYFUNCTION("""COMPUTED_VALUE"""),"U.S. Ambassador to Singapore")</f>
        <v>U.S. Ambassador to Singapore</v>
      </c>
      <c r="D533" s="59" t="str">
        <f>IFERROR(__xludf.DUMMYFUNCTION("""COMPUTED_VALUE"""),"X")</f>
        <v>X</v>
      </c>
      <c r="E533" s="60" t="str">
        <f>IFERROR(__xludf.DUMMYFUNCTION("""COMPUTED_VALUE"""),"https://x.com/USAmbSG")</f>
        <v>https://x.com/USAmbSG</v>
      </c>
    </row>
    <row r="534">
      <c r="A534" s="59" t="str">
        <f>IFERROR(__xludf.DUMMYFUNCTION("""COMPUTED_VALUE"""),"EAP")</f>
        <v>EAP</v>
      </c>
      <c r="B534" s="59" t="str">
        <f>IFERROR(__xludf.DUMMYFUNCTION("""COMPUTED_VALUE"""),"Singapore")</f>
        <v>Singapore</v>
      </c>
      <c r="C534" s="59" t="str">
        <f>IFERROR(__xludf.DUMMYFUNCTION("""COMPUTED_VALUE"""),"U.S. Embassy Singapore")</f>
        <v>U.S. Embassy Singapore</v>
      </c>
      <c r="D534" s="59" t="str">
        <f>IFERROR(__xludf.DUMMYFUNCTION("""COMPUTED_VALUE"""),"Facebook")</f>
        <v>Facebook</v>
      </c>
      <c r="E534" s="60" t="str">
        <f>IFERROR(__xludf.DUMMYFUNCTION("""COMPUTED_VALUE"""),"https://www.facebook.com/USEmbassySingapore/")</f>
        <v>https://www.facebook.com/USEmbassySingapore/</v>
      </c>
    </row>
    <row r="535">
      <c r="A535" s="59" t="str">
        <f>IFERROR(__xludf.DUMMYFUNCTION("""COMPUTED_VALUE"""),"EAP")</f>
        <v>EAP</v>
      </c>
      <c r="B535" s="59" t="str">
        <f>IFERROR(__xludf.DUMMYFUNCTION("""COMPUTED_VALUE"""),"Singapore")</f>
        <v>Singapore</v>
      </c>
      <c r="C535" s="59" t="str">
        <f>IFERROR(__xludf.DUMMYFUNCTION("""COMPUTED_VALUE"""),"U.S. Embassy Singapore")</f>
        <v>U.S. Embassy Singapore</v>
      </c>
      <c r="D535" s="59" t="str">
        <f>IFERROR(__xludf.DUMMYFUNCTION("""COMPUTED_VALUE"""),"Instagram")</f>
        <v>Instagram</v>
      </c>
      <c r="E535" s="60" t="str">
        <f>IFERROR(__xludf.DUMMYFUNCTION("""COMPUTED_VALUE"""),"https://www.instagram.com/usembassysingapore")</f>
        <v>https://www.instagram.com/usembassysingapore</v>
      </c>
    </row>
    <row r="536">
      <c r="A536" s="59" t="str">
        <f>IFERROR(__xludf.DUMMYFUNCTION("""COMPUTED_VALUE"""),"EAP")</f>
        <v>EAP</v>
      </c>
      <c r="B536" s="59" t="str">
        <f>IFERROR(__xludf.DUMMYFUNCTION("""COMPUTED_VALUE"""),"Singapore")</f>
        <v>Singapore</v>
      </c>
      <c r="C536" s="59" t="str">
        <f>IFERROR(__xludf.DUMMYFUNCTION("""COMPUTED_VALUE"""),"U.S. Embassy Singapore")</f>
        <v>U.S. Embassy Singapore</v>
      </c>
      <c r="D536" s="59" t="str">
        <f>IFERROR(__xludf.DUMMYFUNCTION("""COMPUTED_VALUE"""),"X")</f>
        <v>X</v>
      </c>
      <c r="E536" s="60" t="str">
        <f>IFERROR(__xludf.DUMMYFUNCTION("""COMPUTED_VALUE"""),"https://x.com/USEmbassySG")</f>
        <v>https://x.com/USEmbassySG</v>
      </c>
    </row>
    <row r="537">
      <c r="A537" s="59" t="str">
        <f>IFERROR(__xludf.DUMMYFUNCTION("""COMPUTED_VALUE"""),"EAP")</f>
        <v>EAP</v>
      </c>
      <c r="B537" s="59" t="str">
        <f>IFERROR(__xludf.DUMMYFUNCTION("""COMPUTED_VALUE"""),"Singapore")</f>
        <v>Singapore</v>
      </c>
      <c r="C537" s="59" t="str">
        <f>IFERROR(__xludf.DUMMYFUNCTION("""COMPUTED_VALUE"""),"U.S. Embassy Singapore")</f>
        <v>U.S. Embassy Singapore</v>
      </c>
      <c r="D537" s="59" t="str">
        <f>IFERROR(__xludf.DUMMYFUNCTION("""COMPUTED_VALUE"""),"LinkedIn")</f>
        <v>LinkedIn</v>
      </c>
      <c r="E537" s="60" t="str">
        <f>IFERROR(__xludf.DUMMYFUNCTION("""COMPUTED_VALUE"""),"https://www.linkedin.com/company/usembassysingapore/")</f>
        <v>https://www.linkedin.com/company/usembassysingapore/</v>
      </c>
    </row>
    <row r="538">
      <c r="A538" s="59" t="str">
        <f>IFERROR(__xludf.DUMMYFUNCTION("""COMPUTED_VALUE"""),"EAP")</f>
        <v>EAP</v>
      </c>
      <c r="B538" s="59" t="str">
        <f>IFERROR(__xludf.DUMMYFUNCTION("""COMPUTED_VALUE"""),"Singapore")</f>
        <v>Singapore</v>
      </c>
      <c r="C538" s="59" t="str">
        <f>IFERROR(__xludf.DUMMYFUNCTION("""COMPUTED_VALUE"""),"U.S. Embassy Singapore")</f>
        <v>U.S. Embassy Singapore</v>
      </c>
      <c r="D538" s="59" t="str">
        <f>IFERROR(__xludf.DUMMYFUNCTION("""COMPUTED_VALUE"""),"YouTube")</f>
        <v>YouTube</v>
      </c>
      <c r="E538" s="60" t="str">
        <f>IFERROR(__xludf.DUMMYFUNCTION("""COMPUTED_VALUE"""),"youtube.com/user/singaporeusembassy")</f>
        <v>youtube.com/user/singaporeusembassy</v>
      </c>
    </row>
    <row r="539">
      <c r="A539" s="59" t="str">
        <f>IFERROR(__xludf.DUMMYFUNCTION("""COMPUTED_VALUE"""),"EAP")</f>
        <v>EAP</v>
      </c>
      <c r="B539" s="59" t="str">
        <f>IFERROR(__xludf.DUMMYFUNCTION("""COMPUTED_VALUE"""),"Solomon Islands")</f>
        <v>Solomon Islands</v>
      </c>
      <c r="C539" s="59" t="str">
        <f>IFERROR(__xludf.DUMMYFUNCTION("""COMPUTED_VALUE"""),"U.S. Embassy Honiara")</f>
        <v>U.S. Embassy Honiara</v>
      </c>
      <c r="D539" s="59" t="str">
        <f>IFERROR(__xludf.DUMMYFUNCTION("""COMPUTED_VALUE"""),"Facebook")</f>
        <v>Facebook</v>
      </c>
      <c r="E539" s="60" t="str">
        <f>IFERROR(__xludf.DUMMYFUNCTION("""COMPUTED_VALUE"""),"https://www.facebook.com/usembassyhoniara/")</f>
        <v>https://www.facebook.com/usembassyhoniara/</v>
      </c>
    </row>
    <row r="540">
      <c r="A540" s="59" t="str">
        <f>IFERROR(__xludf.DUMMYFUNCTION("""COMPUTED_VALUE"""),"EAP")</f>
        <v>EAP</v>
      </c>
      <c r="B540" s="59" t="str">
        <f>IFERROR(__xludf.DUMMYFUNCTION("""COMPUTED_VALUE"""),"Solomon Islands")</f>
        <v>Solomon Islands</v>
      </c>
      <c r="C540" s="59" t="str">
        <f>IFERROR(__xludf.DUMMYFUNCTION("""COMPUTED_VALUE"""),"U.S. Embassy Honiara")</f>
        <v>U.S. Embassy Honiara</v>
      </c>
      <c r="D540" s="59" t="str">
        <f>IFERROR(__xludf.DUMMYFUNCTION("""COMPUTED_VALUE"""),"X")</f>
        <v>X</v>
      </c>
      <c r="E540" s="60" t="str">
        <f>IFERROR(__xludf.DUMMYFUNCTION("""COMPUTED_VALUE"""),"https://x.com/USEmbHoniara")</f>
        <v>https://x.com/USEmbHoniara</v>
      </c>
    </row>
    <row r="541">
      <c r="A541" s="59" t="str">
        <f>IFERROR(__xludf.DUMMYFUNCTION("""COMPUTED_VALUE"""),"EAP")</f>
        <v>EAP</v>
      </c>
      <c r="B541" s="59" t="str">
        <f>IFERROR(__xludf.DUMMYFUNCTION("""COMPUTED_VALUE"""),"Solomon Islands")</f>
        <v>Solomon Islands</v>
      </c>
      <c r="C541" s="59" t="str">
        <f>IFERROR(__xludf.DUMMYFUNCTION("""COMPUTED_VALUE"""),"U.S. Embassy Honiara")</f>
        <v>U.S. Embassy Honiara</v>
      </c>
      <c r="D541" s="59" t="str">
        <f>IFERROR(__xludf.DUMMYFUNCTION("""COMPUTED_VALUE"""),"Flickr")</f>
        <v>Flickr</v>
      </c>
      <c r="E541" s="60" t="str">
        <f>IFERROR(__xludf.DUMMYFUNCTION("""COMPUTED_VALUE"""),"https://www.flickr.com/photos/usembassyhoniara/")</f>
        <v>https://www.flickr.com/photos/usembassyhoniara/</v>
      </c>
    </row>
    <row r="542">
      <c r="A542" s="59" t="str">
        <f>IFERROR(__xludf.DUMMYFUNCTION("""COMPUTED_VALUE"""),"EAP")</f>
        <v>EAP</v>
      </c>
      <c r="B542" s="59" t="str">
        <f>IFERROR(__xludf.DUMMYFUNCTION("""COMPUTED_VALUE"""),"South Korea")</f>
        <v>South Korea</v>
      </c>
      <c r="C542" s="59" t="str">
        <f>IFERROR(__xludf.DUMMYFUNCTION("""COMPUTED_VALUE"""),"U.S. Ambassador to the ROK")</f>
        <v>U.S. Ambassador to the ROK</v>
      </c>
      <c r="D542" s="59" t="str">
        <f>IFERROR(__xludf.DUMMYFUNCTION("""COMPUTED_VALUE"""),"X")</f>
        <v>X</v>
      </c>
      <c r="E542" s="60" t="str">
        <f>IFERROR(__xludf.DUMMYFUNCTION("""COMPUTED_VALUE"""),"https://x.com/USAmbROK")</f>
        <v>https://x.com/USAmbROK</v>
      </c>
    </row>
    <row r="543">
      <c r="A543" s="59" t="str">
        <f>IFERROR(__xludf.DUMMYFUNCTION("""COMPUTED_VALUE"""),"EAP")</f>
        <v>EAP</v>
      </c>
      <c r="B543" s="59" t="str">
        <f>IFERROR(__xludf.DUMMYFUNCTION("""COMPUTED_VALUE"""),"South Korea")</f>
        <v>South Korea</v>
      </c>
      <c r="C543" s="59" t="str">
        <f>IFERROR(__xludf.DUMMYFUNCTION("""COMPUTED_VALUE"""),"U.S. Embassy Seoul")</f>
        <v>U.S. Embassy Seoul</v>
      </c>
      <c r="D543" s="59" t="str">
        <f>IFERROR(__xludf.DUMMYFUNCTION("""COMPUTED_VALUE"""),"Facebook")</f>
        <v>Facebook</v>
      </c>
      <c r="E543" s="60" t="str">
        <f>IFERROR(__xludf.DUMMYFUNCTION("""COMPUTED_VALUE"""),"https://www.facebook.com/usembassyseoul/")</f>
        <v>https://www.facebook.com/usembassyseoul/</v>
      </c>
    </row>
    <row r="544">
      <c r="A544" s="59" t="str">
        <f>IFERROR(__xludf.DUMMYFUNCTION("""COMPUTED_VALUE"""),"EAP")</f>
        <v>EAP</v>
      </c>
      <c r="B544" s="59" t="str">
        <f>IFERROR(__xludf.DUMMYFUNCTION("""COMPUTED_VALUE"""),"South Korea")</f>
        <v>South Korea</v>
      </c>
      <c r="C544" s="59" t="str">
        <f>IFERROR(__xludf.DUMMYFUNCTION("""COMPUTED_VALUE"""),"U.S. Embassy Seoul")</f>
        <v>U.S. Embassy Seoul</v>
      </c>
      <c r="D544" s="59" t="str">
        <f>IFERROR(__xludf.DUMMYFUNCTION("""COMPUTED_VALUE"""),"Flickr")</f>
        <v>Flickr</v>
      </c>
      <c r="E544" s="60" t="str">
        <f>IFERROR(__xludf.DUMMYFUNCTION("""COMPUTED_VALUE"""),"https://www.flickr.com/photos/usembassyseoul")</f>
        <v>https://www.flickr.com/photos/usembassyseoul</v>
      </c>
    </row>
    <row r="545">
      <c r="A545" s="59" t="str">
        <f>IFERROR(__xludf.DUMMYFUNCTION("""COMPUTED_VALUE"""),"EAP")</f>
        <v>EAP</v>
      </c>
      <c r="B545" s="59" t="str">
        <f>IFERROR(__xludf.DUMMYFUNCTION("""COMPUTED_VALUE"""),"South Korea")</f>
        <v>South Korea</v>
      </c>
      <c r="C545" s="59" t="str">
        <f>IFERROR(__xludf.DUMMYFUNCTION("""COMPUTED_VALUE"""),"U.S. Embassy Seoul")</f>
        <v>U.S. Embassy Seoul</v>
      </c>
      <c r="D545" s="59" t="str">
        <f>IFERROR(__xludf.DUMMYFUNCTION("""COMPUTED_VALUE"""),"Instagram")</f>
        <v>Instagram</v>
      </c>
      <c r="E545" s="60" t="str">
        <f>IFERROR(__xludf.DUMMYFUNCTION("""COMPUTED_VALUE"""),"https://www.instagram.com/usembassyseoul")</f>
        <v>https://www.instagram.com/usembassyseoul</v>
      </c>
    </row>
    <row r="546">
      <c r="A546" s="59" t="str">
        <f>IFERROR(__xludf.DUMMYFUNCTION("""COMPUTED_VALUE"""),"EAP")</f>
        <v>EAP</v>
      </c>
      <c r="B546" s="59" t="str">
        <f>IFERROR(__xludf.DUMMYFUNCTION("""COMPUTED_VALUE"""),"South Korea")</f>
        <v>South Korea</v>
      </c>
      <c r="C546" s="59" t="str">
        <f>IFERROR(__xludf.DUMMYFUNCTION("""COMPUTED_VALUE"""),"U.S. Embassy Seoul")</f>
        <v>U.S. Embassy Seoul</v>
      </c>
      <c r="D546" s="59" t="str">
        <f>IFERROR(__xludf.DUMMYFUNCTION("""COMPUTED_VALUE"""),"X")</f>
        <v>X</v>
      </c>
      <c r="E546" s="60" t="str">
        <f>IFERROR(__xludf.DUMMYFUNCTION("""COMPUTED_VALUE"""),"https://x.com/USEmbassySeoul")</f>
        <v>https://x.com/USEmbassySeoul</v>
      </c>
    </row>
    <row r="547">
      <c r="A547" s="59" t="str">
        <f>IFERROR(__xludf.DUMMYFUNCTION("""COMPUTED_VALUE"""),"EAP")</f>
        <v>EAP</v>
      </c>
      <c r="B547" s="59" t="str">
        <f>IFERROR(__xludf.DUMMYFUNCTION("""COMPUTED_VALUE"""),"South Korea")</f>
        <v>South Korea</v>
      </c>
      <c r="C547" s="59" t="str">
        <f>IFERROR(__xludf.DUMMYFUNCTION("""COMPUTED_VALUE"""),"U.S. Embassy Seoul")</f>
        <v>U.S. Embassy Seoul</v>
      </c>
      <c r="D547" s="59" t="str">
        <f>IFERROR(__xludf.DUMMYFUNCTION("""COMPUTED_VALUE"""),"YouTube")</f>
        <v>YouTube</v>
      </c>
      <c r="E547" s="60" t="str">
        <f>IFERROR(__xludf.DUMMYFUNCTION("""COMPUTED_VALUE"""),"youtube.com/user/USEmbassySeoul")</f>
        <v>youtube.com/user/USEmbassySeoul</v>
      </c>
    </row>
    <row r="548">
      <c r="A548" s="59" t="str">
        <f>IFERROR(__xludf.DUMMYFUNCTION("""COMPUTED_VALUE"""),"EAP")</f>
        <v>EAP</v>
      </c>
      <c r="B548" s="59" t="str">
        <f>IFERROR(__xludf.DUMMYFUNCTION("""COMPUTED_VALUE"""),"Taiwan")</f>
        <v>Taiwan</v>
      </c>
      <c r="C548" s="59" t="str">
        <f>IFERROR(__xludf.DUMMYFUNCTION("""COMPUTED_VALUE"""),"American Institute in Taiwan")</f>
        <v>American Institute in Taiwan</v>
      </c>
      <c r="D548" s="59" t="str">
        <f>IFERROR(__xludf.DUMMYFUNCTION("""COMPUTED_VALUE"""),"Facebook")</f>
        <v>Facebook</v>
      </c>
      <c r="E548" s="60" t="str">
        <f>IFERROR(__xludf.DUMMYFUNCTION("""COMPUTED_VALUE"""),"https://www.facebook.com/AIT.Social.Media/")</f>
        <v>https://www.facebook.com/AIT.Social.Media/</v>
      </c>
    </row>
    <row r="549">
      <c r="A549" s="59" t="str">
        <f>IFERROR(__xludf.DUMMYFUNCTION("""COMPUTED_VALUE"""),"EAP")</f>
        <v>EAP</v>
      </c>
      <c r="B549" s="59" t="str">
        <f>IFERROR(__xludf.DUMMYFUNCTION("""COMPUTED_VALUE"""),"Taiwan")</f>
        <v>Taiwan</v>
      </c>
      <c r="C549" s="59" t="str">
        <f>IFERROR(__xludf.DUMMYFUNCTION("""COMPUTED_VALUE"""),"American Institute in Taiwan")</f>
        <v>American Institute in Taiwan</v>
      </c>
      <c r="D549" s="59" t="str">
        <f>IFERROR(__xludf.DUMMYFUNCTION("""COMPUTED_VALUE"""),"Flickr")</f>
        <v>Flickr</v>
      </c>
      <c r="E549" s="60" t="str">
        <f>IFERROR(__xludf.DUMMYFUNCTION("""COMPUTED_VALUE"""),"https://www.flickr.com/photos/ait_taipei/")</f>
        <v>https://www.flickr.com/photos/ait_taipei/</v>
      </c>
    </row>
    <row r="550">
      <c r="A550" s="59" t="str">
        <f>IFERROR(__xludf.DUMMYFUNCTION("""COMPUTED_VALUE"""),"EAP")</f>
        <v>EAP</v>
      </c>
      <c r="B550" s="59" t="str">
        <f>IFERROR(__xludf.DUMMYFUNCTION("""COMPUTED_VALUE"""),"Taiwan")</f>
        <v>Taiwan</v>
      </c>
      <c r="C550" s="59" t="str">
        <f>IFERROR(__xludf.DUMMYFUNCTION("""COMPUTED_VALUE"""),"American Institute in Taiwan")</f>
        <v>American Institute in Taiwan</v>
      </c>
      <c r="D550" s="59" t="str">
        <f>IFERROR(__xludf.DUMMYFUNCTION("""COMPUTED_VALUE"""),"Instagram")</f>
        <v>Instagram</v>
      </c>
      <c r="E550" s="60" t="str">
        <f>IFERROR(__xludf.DUMMYFUNCTION("""COMPUTED_VALUE"""),"https://www.instagram.com/ait_taipei/")</f>
        <v>https://www.instagram.com/ait_taipei/</v>
      </c>
    </row>
    <row r="551">
      <c r="A551" s="59" t="str">
        <f>IFERROR(__xludf.DUMMYFUNCTION("""COMPUTED_VALUE"""),"EAP")</f>
        <v>EAP</v>
      </c>
      <c r="B551" s="59" t="str">
        <f>IFERROR(__xludf.DUMMYFUNCTION("""COMPUTED_VALUE"""),"Taiwan")</f>
        <v>Taiwan</v>
      </c>
      <c r="C551" s="59" t="str">
        <f>IFERROR(__xludf.DUMMYFUNCTION("""COMPUTED_VALUE"""),"American Institute in Taiwan")</f>
        <v>American Institute in Taiwan</v>
      </c>
      <c r="D551" s="59" t="str">
        <f>IFERROR(__xludf.DUMMYFUNCTION("""COMPUTED_VALUE"""),"YouTube")</f>
        <v>YouTube</v>
      </c>
      <c r="E551" s="60" t="str">
        <f>IFERROR(__xludf.DUMMYFUNCTION("""COMPUTED_VALUE"""),"https://youtube.com/@AmericanInstituteTW")</f>
        <v>https://youtube.com/@AmericanInstituteTW</v>
      </c>
    </row>
    <row r="552">
      <c r="A552" s="59" t="str">
        <f>IFERROR(__xludf.DUMMYFUNCTION("""COMPUTED_VALUE"""),"EAP")</f>
        <v>EAP</v>
      </c>
      <c r="B552" s="59" t="str">
        <f>IFERROR(__xludf.DUMMYFUNCTION("""COMPUTED_VALUE"""),"Taiwan")</f>
        <v>Taiwan</v>
      </c>
      <c r="C552" s="59" t="str">
        <f>IFERROR(__xludf.DUMMYFUNCTION("""COMPUTED_VALUE"""),"American Institute in Taiwan - Kaohsiung")</f>
        <v>American Institute in Taiwan - Kaohsiung</v>
      </c>
      <c r="D552" s="59" t="str">
        <f>IFERROR(__xludf.DUMMYFUNCTION("""COMPUTED_VALUE"""),"Facebook")</f>
        <v>Facebook</v>
      </c>
      <c r="E552" s="60" t="str">
        <f>IFERROR(__xludf.DUMMYFUNCTION("""COMPUTED_VALUE"""),"https://www.facebook.com/ILoveAITK/#")</f>
        <v>https://www.facebook.com/ILoveAITK/#</v>
      </c>
    </row>
    <row r="553">
      <c r="A553" s="59" t="str">
        <f>IFERROR(__xludf.DUMMYFUNCTION("""COMPUTED_VALUE"""),"EAP")</f>
        <v>EAP</v>
      </c>
      <c r="B553" s="59" t="str">
        <f>IFERROR(__xludf.DUMMYFUNCTION("""COMPUTED_VALUE"""),"Taiwan")</f>
        <v>Taiwan</v>
      </c>
      <c r="C553" s="59" t="str">
        <f>IFERROR(__xludf.DUMMYFUNCTION("""COMPUTED_VALUE"""),"American Institute in Taiwan - Kaohsiung")</f>
        <v>American Institute in Taiwan - Kaohsiung</v>
      </c>
      <c r="D553" s="59" t="str">
        <f>IFERROR(__xludf.DUMMYFUNCTION("""COMPUTED_VALUE"""),"Instagram")</f>
        <v>Instagram</v>
      </c>
      <c r="E553" s="60" t="str">
        <f>IFERROR(__xludf.DUMMYFUNCTION("""COMPUTED_VALUE"""),"https://www.instagram.com/ait_kaohsiung/")</f>
        <v>https://www.instagram.com/ait_kaohsiung/</v>
      </c>
    </row>
    <row r="554">
      <c r="A554" s="59" t="str">
        <f>IFERROR(__xludf.DUMMYFUNCTION("""COMPUTED_VALUE"""),"EAP")</f>
        <v>EAP</v>
      </c>
      <c r="B554" s="59" t="str">
        <f>IFERROR(__xludf.DUMMYFUNCTION("""COMPUTED_VALUE"""),"Thailand")</f>
        <v>Thailand</v>
      </c>
      <c r="C554" s="59" t="str">
        <f>IFERROR(__xludf.DUMMYFUNCTION("""COMPUTED_VALUE"""),"American Citizen Services Bangkok")</f>
        <v>American Citizen Services Bangkok</v>
      </c>
      <c r="D554" s="59" t="str">
        <f>IFERROR(__xludf.DUMMYFUNCTION("""COMPUTED_VALUE"""),"Facebook")</f>
        <v>Facebook</v>
      </c>
      <c r="E554" s="60" t="str">
        <f>IFERROR(__xludf.DUMMYFUNCTION("""COMPUTED_VALUE"""),"https://www.facebook.com/acsbkk/")</f>
        <v>https://www.facebook.com/acsbkk/</v>
      </c>
    </row>
    <row r="555">
      <c r="A555" s="59" t="str">
        <f>IFERROR(__xludf.DUMMYFUNCTION("""COMPUTED_VALUE"""),"EAP")</f>
        <v>EAP</v>
      </c>
      <c r="B555" s="59" t="str">
        <f>IFERROR(__xludf.DUMMYFUNCTION("""COMPUTED_VALUE"""),"Thailand")</f>
        <v>Thailand</v>
      </c>
      <c r="C555" s="59" t="str">
        <f>IFERROR(__xludf.DUMMYFUNCTION("""COMPUTED_VALUE"""),"American Citizen Services Bangkok")</f>
        <v>American Citizen Services Bangkok</v>
      </c>
      <c r="D555" s="59" t="str">
        <f>IFERROR(__xludf.DUMMYFUNCTION("""COMPUTED_VALUE"""),"Whatsapp")</f>
        <v>Whatsapp</v>
      </c>
      <c r="E555" s="60" t="str">
        <f>IFERROR(__xludf.DUMMYFUNCTION("""COMPUTED_VALUE"""),"https://www.whatsapp.com/channel/0029VakoUfF6LwHlZl2K7j0j")</f>
        <v>https://www.whatsapp.com/channel/0029VakoUfF6LwHlZl2K7j0j</v>
      </c>
    </row>
    <row r="556">
      <c r="A556" s="59" t="str">
        <f>IFERROR(__xludf.DUMMYFUNCTION("""COMPUTED_VALUE"""),"EAP")</f>
        <v>EAP</v>
      </c>
      <c r="B556" s="59" t="str">
        <f>IFERROR(__xludf.DUMMYFUNCTION("""COMPUTED_VALUE"""),"Thailand")</f>
        <v>Thailand</v>
      </c>
      <c r="C556" s="59" t="str">
        <f>IFERROR(__xludf.DUMMYFUNCTION("""COMPUTED_VALUE"""),"U.S. Ambassador to Thailand")</f>
        <v>U.S. Ambassador to Thailand</v>
      </c>
      <c r="D556" s="59" t="str">
        <f>IFERROR(__xludf.DUMMYFUNCTION("""COMPUTED_VALUE"""),"X")</f>
        <v>X</v>
      </c>
      <c r="E556" s="60" t="str">
        <f>IFERROR(__xludf.DUMMYFUNCTION("""COMPUTED_VALUE"""),"https://x.com/usambthailand")</f>
        <v>https://x.com/usambthailand</v>
      </c>
    </row>
    <row r="557">
      <c r="A557" s="59" t="str">
        <f>IFERROR(__xludf.DUMMYFUNCTION("""COMPUTED_VALUE"""),"EAP")</f>
        <v>EAP</v>
      </c>
      <c r="B557" s="59" t="str">
        <f>IFERROR(__xludf.DUMMYFUNCTION("""COMPUTED_VALUE"""),"Thailand")</f>
        <v>Thailand</v>
      </c>
      <c r="C557" s="59" t="str">
        <f>IFERROR(__xludf.DUMMYFUNCTION("""COMPUTED_VALUE"""),"U.S. Consulate General Chiang Mai")</f>
        <v>U.S. Consulate General Chiang Mai</v>
      </c>
      <c r="D557" s="59" t="str">
        <f>IFERROR(__xludf.DUMMYFUNCTION("""COMPUTED_VALUE"""),"Facebook")</f>
        <v>Facebook</v>
      </c>
      <c r="E557" s="60" t="str">
        <f>IFERROR(__xludf.DUMMYFUNCTION("""COMPUTED_VALUE"""),"https://www.facebook.com/chiangmai.usconsulate/")</f>
        <v>https://www.facebook.com/chiangmai.usconsulate/</v>
      </c>
    </row>
    <row r="558">
      <c r="A558" s="59" t="str">
        <f>IFERROR(__xludf.DUMMYFUNCTION("""COMPUTED_VALUE"""),"EAP")</f>
        <v>EAP</v>
      </c>
      <c r="B558" s="59" t="str">
        <f>IFERROR(__xludf.DUMMYFUNCTION("""COMPUTED_VALUE"""),"Thailand")</f>
        <v>Thailand</v>
      </c>
      <c r="C558" s="59" t="str">
        <f>IFERROR(__xludf.DUMMYFUNCTION("""COMPUTED_VALUE"""),"U.S. Consulate General Chiang Mai")</f>
        <v>U.S. Consulate General Chiang Mai</v>
      </c>
      <c r="D558" s="59" t="str">
        <f>IFERROR(__xludf.DUMMYFUNCTION("""COMPUTED_VALUE"""),"Instagram")</f>
        <v>Instagram</v>
      </c>
      <c r="E558" s="60" t="str">
        <f>IFERROR(__xludf.DUMMYFUNCTION("""COMPUTED_VALUE"""),"https://www.instagram.com/usconschiangmai")</f>
        <v>https://www.instagram.com/usconschiangmai</v>
      </c>
    </row>
    <row r="559">
      <c r="A559" s="59" t="str">
        <f>IFERROR(__xludf.DUMMYFUNCTION("""COMPUTED_VALUE"""),"EAP")</f>
        <v>EAP</v>
      </c>
      <c r="B559" s="59" t="str">
        <f>IFERROR(__xludf.DUMMYFUNCTION("""COMPUTED_VALUE"""),"Thailand")</f>
        <v>Thailand</v>
      </c>
      <c r="C559" s="59" t="str">
        <f>IFERROR(__xludf.DUMMYFUNCTION("""COMPUTED_VALUE"""),"U.S. Consulate General Chiang Mai")</f>
        <v>U.S. Consulate General Chiang Mai</v>
      </c>
      <c r="D559" s="59" t="str">
        <f>IFERROR(__xludf.DUMMYFUNCTION("""COMPUTED_VALUE"""),"X")</f>
        <v>X</v>
      </c>
      <c r="E559" s="60" t="str">
        <f>IFERROR(__xludf.DUMMYFUNCTION("""COMPUTED_VALUE"""),"https://x.com/USConsChiangMai")</f>
        <v>https://x.com/USConsChiangMai</v>
      </c>
    </row>
    <row r="560">
      <c r="A560" s="59" t="str">
        <f>IFERROR(__xludf.DUMMYFUNCTION("""COMPUTED_VALUE"""),"EAP")</f>
        <v>EAP</v>
      </c>
      <c r="B560" s="59" t="str">
        <f>IFERROR(__xludf.DUMMYFUNCTION("""COMPUTED_VALUE"""),"Thailand")</f>
        <v>Thailand</v>
      </c>
      <c r="C560" s="59" t="str">
        <f>IFERROR(__xludf.DUMMYFUNCTION("""COMPUTED_VALUE"""),"U.S. Consulate General Chiang Mai")</f>
        <v>U.S. Consulate General Chiang Mai</v>
      </c>
      <c r="D560" s="59" t="str">
        <f>IFERROR(__xludf.DUMMYFUNCTION("""COMPUTED_VALUE"""),"YouTube")</f>
        <v>YouTube</v>
      </c>
      <c r="E560" s="60" t="str">
        <f>IFERROR(__xludf.DUMMYFUNCTION("""COMPUTED_VALUE"""),"youtube.com/user/USConsulateChiangmai")</f>
        <v>youtube.com/user/USConsulateChiangmai</v>
      </c>
    </row>
    <row r="561">
      <c r="A561" s="59" t="str">
        <f>IFERROR(__xludf.DUMMYFUNCTION("""COMPUTED_VALUE"""),"EAP")</f>
        <v>EAP</v>
      </c>
      <c r="B561" s="59" t="str">
        <f>IFERROR(__xludf.DUMMYFUNCTION("""COMPUTED_VALUE"""),"Thailand")</f>
        <v>Thailand</v>
      </c>
      <c r="C561" s="59" t="str">
        <f>IFERROR(__xludf.DUMMYFUNCTION("""COMPUTED_VALUE"""),"U.S. Embassy Bangkok")</f>
        <v>U.S. Embassy Bangkok</v>
      </c>
      <c r="D561" s="59" t="str">
        <f>IFERROR(__xludf.DUMMYFUNCTION("""COMPUTED_VALUE"""),"Facebook")</f>
        <v>Facebook</v>
      </c>
      <c r="E561" s="60" t="str">
        <f>IFERROR(__xludf.DUMMYFUNCTION("""COMPUTED_VALUE"""),"https://www.facebook.com/usembassybkk/")</f>
        <v>https://www.facebook.com/usembassybkk/</v>
      </c>
    </row>
    <row r="562">
      <c r="A562" s="59" t="str">
        <f>IFERROR(__xludf.DUMMYFUNCTION("""COMPUTED_VALUE"""),"EAP")</f>
        <v>EAP</v>
      </c>
      <c r="B562" s="59" t="str">
        <f>IFERROR(__xludf.DUMMYFUNCTION("""COMPUTED_VALUE"""),"Thailand")</f>
        <v>Thailand</v>
      </c>
      <c r="C562" s="59" t="str">
        <f>IFERROR(__xludf.DUMMYFUNCTION("""COMPUTED_VALUE"""),"U.S. Embassy Bangkok")</f>
        <v>U.S. Embassy Bangkok</v>
      </c>
      <c r="D562" s="59" t="str">
        <f>IFERROR(__xludf.DUMMYFUNCTION("""COMPUTED_VALUE"""),"Flickr")</f>
        <v>Flickr</v>
      </c>
      <c r="E562" s="60" t="str">
        <f>IFERROR(__xludf.DUMMYFUNCTION("""COMPUTED_VALUE"""),"https://www.flickr.com/photos/usembassybkk")</f>
        <v>https://www.flickr.com/photos/usembassybkk</v>
      </c>
    </row>
    <row r="563">
      <c r="A563" s="59" t="str">
        <f>IFERROR(__xludf.DUMMYFUNCTION("""COMPUTED_VALUE"""),"EAP")</f>
        <v>EAP</v>
      </c>
      <c r="B563" s="59" t="str">
        <f>IFERROR(__xludf.DUMMYFUNCTION("""COMPUTED_VALUE"""),"Thailand")</f>
        <v>Thailand</v>
      </c>
      <c r="C563" s="59" t="str">
        <f>IFERROR(__xludf.DUMMYFUNCTION("""COMPUTED_VALUE"""),"U.S. Embassy Bangkok")</f>
        <v>U.S. Embassy Bangkok</v>
      </c>
      <c r="D563" s="59" t="str">
        <f>IFERROR(__xludf.DUMMYFUNCTION("""COMPUTED_VALUE"""),"Instagram")</f>
        <v>Instagram</v>
      </c>
      <c r="E563" s="60" t="str">
        <f>IFERROR(__xludf.DUMMYFUNCTION("""COMPUTED_VALUE"""),"https://www.instagram.com/usembassybkk")</f>
        <v>https://www.instagram.com/usembassybkk</v>
      </c>
    </row>
    <row r="564">
      <c r="A564" s="59" t="str">
        <f>IFERROR(__xludf.DUMMYFUNCTION("""COMPUTED_VALUE"""),"EAP")</f>
        <v>EAP</v>
      </c>
      <c r="B564" s="59" t="str">
        <f>IFERROR(__xludf.DUMMYFUNCTION("""COMPUTED_VALUE"""),"Thailand")</f>
        <v>Thailand</v>
      </c>
      <c r="C564" s="59" t="str">
        <f>IFERROR(__xludf.DUMMYFUNCTION("""COMPUTED_VALUE"""),"U.S. Embassy Bangkok")</f>
        <v>U.S. Embassy Bangkok</v>
      </c>
      <c r="D564" s="59" t="str">
        <f>IFERROR(__xludf.DUMMYFUNCTION("""COMPUTED_VALUE"""),"X")</f>
        <v>X</v>
      </c>
      <c r="E564" s="60" t="str">
        <f>IFERROR(__xludf.DUMMYFUNCTION("""COMPUTED_VALUE"""),"https://x.com/USEmbassyBKK")</f>
        <v>https://x.com/USEmbassyBKK</v>
      </c>
    </row>
    <row r="565">
      <c r="A565" s="59" t="str">
        <f>IFERROR(__xludf.DUMMYFUNCTION("""COMPUTED_VALUE"""),"EAP")</f>
        <v>EAP</v>
      </c>
      <c r="B565" s="59" t="str">
        <f>IFERROR(__xludf.DUMMYFUNCTION("""COMPUTED_VALUE"""),"Thailand")</f>
        <v>Thailand</v>
      </c>
      <c r="C565" s="59" t="str">
        <f>IFERROR(__xludf.DUMMYFUNCTION("""COMPUTED_VALUE"""),"U.S. Embassy Bangkok")</f>
        <v>U.S. Embassy Bangkok</v>
      </c>
      <c r="D565" s="59" t="str">
        <f>IFERROR(__xludf.DUMMYFUNCTION("""COMPUTED_VALUE"""),"YouTube")</f>
        <v>YouTube</v>
      </c>
      <c r="E565" s="60" t="str">
        <f>IFERROR(__xludf.DUMMYFUNCTION("""COMPUTED_VALUE"""),"youtube.com/user/USEmbassyBangkok")</f>
        <v>youtube.com/user/USEmbassyBangkok</v>
      </c>
    </row>
    <row r="566">
      <c r="A566" s="59" t="str">
        <f>IFERROR(__xludf.DUMMYFUNCTION("""COMPUTED_VALUE"""),"EAP")</f>
        <v>EAP</v>
      </c>
      <c r="B566" s="59" t="str">
        <f>IFERROR(__xludf.DUMMYFUNCTION("""COMPUTED_VALUE"""),"Timor-Leste")</f>
        <v>Timor-Leste</v>
      </c>
      <c r="C566" s="59" t="str">
        <f>IFERROR(__xludf.DUMMYFUNCTION("""COMPUTED_VALUE"""),"U.S. Embassy Dili")</f>
        <v>U.S. Embassy Dili</v>
      </c>
      <c r="D566" s="59" t="str">
        <f>IFERROR(__xludf.DUMMYFUNCTION("""COMPUTED_VALUE"""),"Facebook")</f>
        <v>Facebook</v>
      </c>
      <c r="E566" s="60" t="str">
        <f>IFERROR(__xludf.DUMMYFUNCTION("""COMPUTED_VALUE"""),"https://www.facebook.com/USEmbassyDili/")</f>
        <v>https://www.facebook.com/USEmbassyDili/</v>
      </c>
    </row>
    <row r="567">
      <c r="A567" s="59" t="str">
        <f>IFERROR(__xludf.DUMMYFUNCTION("""COMPUTED_VALUE"""),"EAP")</f>
        <v>EAP</v>
      </c>
      <c r="B567" s="59" t="str">
        <f>IFERROR(__xludf.DUMMYFUNCTION("""COMPUTED_VALUE"""),"Timor-Leste")</f>
        <v>Timor-Leste</v>
      </c>
      <c r="C567" s="59" t="str">
        <f>IFERROR(__xludf.DUMMYFUNCTION("""COMPUTED_VALUE"""),"U.S. Embassy Dili")</f>
        <v>U.S. Embassy Dili</v>
      </c>
      <c r="D567" s="59" t="str">
        <f>IFERROR(__xludf.DUMMYFUNCTION("""COMPUTED_VALUE"""),"X")</f>
        <v>X</v>
      </c>
      <c r="E567" s="60" t="str">
        <f>IFERROR(__xludf.DUMMYFUNCTION("""COMPUTED_VALUE"""),"https://x.com/USEmbassyDili")</f>
        <v>https://x.com/USEmbassyDili</v>
      </c>
    </row>
    <row r="568">
      <c r="A568" s="59" t="str">
        <f>IFERROR(__xludf.DUMMYFUNCTION("""COMPUTED_VALUE"""),"EAP")</f>
        <v>EAP</v>
      </c>
      <c r="B568" s="59" t="str">
        <f>IFERROR(__xludf.DUMMYFUNCTION("""COMPUTED_VALUE"""),"Tonga")</f>
        <v>Tonga</v>
      </c>
      <c r="C568" s="59" t="str">
        <f>IFERROR(__xludf.DUMMYFUNCTION("""COMPUTED_VALUE"""),"U.S. Embassy Nukuʻalofa")</f>
        <v>U.S. Embassy Nukuʻalofa</v>
      </c>
      <c r="D568" s="59" t="str">
        <f>IFERROR(__xludf.DUMMYFUNCTION("""COMPUTED_VALUE"""),"Facebook")</f>
        <v>Facebook</v>
      </c>
      <c r="E568" s="60" t="str">
        <f>IFERROR(__xludf.DUMMYFUNCTION("""COMPUTED_VALUE"""),"https://www.facebook.com/usembassynukualofa")</f>
        <v>https://www.facebook.com/usembassynukualofa</v>
      </c>
    </row>
    <row r="569">
      <c r="A569" s="59" t="str">
        <f>IFERROR(__xludf.DUMMYFUNCTION("""COMPUTED_VALUE"""),"EAP")</f>
        <v>EAP</v>
      </c>
      <c r="B569" s="59" t="str">
        <f>IFERROR(__xludf.DUMMYFUNCTION("""COMPUTED_VALUE"""),"United States")</f>
        <v>United States</v>
      </c>
      <c r="C569" s="59" t="str">
        <f>IFERROR(__xludf.DUMMYFUNCTION("""COMPUTED_VALUE"""),"Asia-Pacific Economic Cooperation (APEC)")</f>
        <v>Asia-Pacific Economic Cooperation (APEC)</v>
      </c>
      <c r="D569" s="59" t="str">
        <f>IFERROR(__xludf.DUMMYFUNCTION("""COMPUTED_VALUE"""),"LinkedIn")</f>
        <v>LinkedIn</v>
      </c>
      <c r="E569" s="60" t="str">
        <f>IFERROR(__xludf.DUMMYFUNCTION("""COMPUTED_VALUE"""),"https://www.linkedin.com/company/usapec2023/")</f>
        <v>https://www.linkedin.com/company/usapec2023/</v>
      </c>
    </row>
    <row r="570">
      <c r="A570" s="59" t="str">
        <f>IFERROR(__xludf.DUMMYFUNCTION("""COMPUTED_VALUE"""),"EAP")</f>
        <v>EAP</v>
      </c>
      <c r="B570" s="59" t="str">
        <f>IFERROR(__xludf.DUMMYFUNCTION("""COMPUTED_VALUE"""),"United States")</f>
        <v>United States</v>
      </c>
      <c r="C570" s="59" t="str">
        <f>IFERROR(__xludf.DUMMYFUNCTION("""COMPUTED_VALUE"""),"Bureau of East Asian and Pacific Affairs")</f>
        <v>Bureau of East Asian and Pacific Affairs</v>
      </c>
      <c r="D570" s="59" t="str">
        <f>IFERROR(__xludf.DUMMYFUNCTION("""COMPUTED_VALUE"""),"X")</f>
        <v>X</v>
      </c>
      <c r="E570" s="60" t="str">
        <f>IFERROR(__xludf.DUMMYFUNCTION("""COMPUTED_VALUE"""),"https://x.com/USAsiaPacific")</f>
        <v>https://x.com/USAsiaPacific</v>
      </c>
    </row>
    <row r="571">
      <c r="A571" s="59" t="str">
        <f>IFERROR(__xludf.DUMMYFUNCTION("""COMPUTED_VALUE"""),"EAP")</f>
        <v>EAP</v>
      </c>
      <c r="B571" s="59" t="str">
        <f>IFERROR(__xludf.DUMMYFUNCTION("""COMPUTED_VALUE"""),"Vanuatu")</f>
        <v>Vanuatu</v>
      </c>
      <c r="C571" s="59" t="str">
        <f>IFERROR(__xludf.DUMMYFUNCTION("""COMPUTED_VALUE"""),"U.S. Embassy Vanuatu")</f>
        <v>U.S. Embassy Vanuatu</v>
      </c>
      <c r="D571" s="59" t="str">
        <f>IFERROR(__xludf.DUMMYFUNCTION("""COMPUTED_VALUE"""),"Facebook")</f>
        <v>Facebook</v>
      </c>
      <c r="E571" s="60" t="str">
        <f>IFERROR(__xludf.DUMMYFUNCTION("""COMPUTED_VALUE"""),"https://www.facebook.com/usembassyvanuatu")</f>
        <v>https://www.facebook.com/usembassyvanuatu</v>
      </c>
    </row>
    <row r="572">
      <c r="A572" s="59" t="str">
        <f>IFERROR(__xludf.DUMMYFUNCTION("""COMPUTED_VALUE"""),"EAP")</f>
        <v>EAP</v>
      </c>
      <c r="B572" s="59" t="str">
        <f>IFERROR(__xludf.DUMMYFUNCTION("""COMPUTED_VALUE"""),"Vietnam")</f>
        <v>Vietnam</v>
      </c>
      <c r="C572" s="59" t="str">
        <f>IFERROR(__xludf.DUMMYFUNCTION("""COMPUTED_VALUE"""),"U.S. Consulate General Ho Chi Minh City")</f>
        <v>U.S. Consulate General Ho Chi Minh City</v>
      </c>
      <c r="D572" s="59" t="str">
        <f>IFERROR(__xludf.DUMMYFUNCTION("""COMPUTED_VALUE"""),"Facebook")</f>
        <v>Facebook</v>
      </c>
      <c r="E572" s="60" t="str">
        <f>IFERROR(__xludf.DUMMYFUNCTION("""COMPUTED_VALUE"""),"https://www.facebook.com/USConsulateHCMC/")</f>
        <v>https://www.facebook.com/USConsulateHCMC/</v>
      </c>
    </row>
    <row r="573">
      <c r="A573" s="59" t="str">
        <f>IFERROR(__xludf.DUMMYFUNCTION("""COMPUTED_VALUE"""),"EAP")</f>
        <v>EAP</v>
      </c>
      <c r="B573" s="59" t="str">
        <f>IFERROR(__xludf.DUMMYFUNCTION("""COMPUTED_VALUE"""),"Vietnam")</f>
        <v>Vietnam</v>
      </c>
      <c r="C573" s="59" t="str">
        <f>IFERROR(__xludf.DUMMYFUNCTION("""COMPUTED_VALUE"""),"U.S. Consulate General Ho Chi Minh City")</f>
        <v>U.S. Consulate General Ho Chi Minh City</v>
      </c>
      <c r="D573" s="59" t="str">
        <f>IFERROR(__xludf.DUMMYFUNCTION("""COMPUTED_VALUE"""),"Flickr")</f>
        <v>Flickr</v>
      </c>
      <c r="E573" s="60" t="str">
        <f>IFERROR(__xludf.DUMMYFUNCTION("""COMPUTED_VALUE"""),"https://www.flickr.com/photos/usconsulatehcm/")</f>
        <v>https://www.flickr.com/photos/usconsulatehcm/</v>
      </c>
    </row>
    <row r="574">
      <c r="A574" s="59" t="str">
        <f>IFERROR(__xludf.DUMMYFUNCTION("""COMPUTED_VALUE"""),"EAP")</f>
        <v>EAP</v>
      </c>
      <c r="B574" s="59" t="str">
        <f>IFERROR(__xludf.DUMMYFUNCTION("""COMPUTED_VALUE"""),"Vietnam")</f>
        <v>Vietnam</v>
      </c>
      <c r="C574" s="59" t="str">
        <f>IFERROR(__xludf.DUMMYFUNCTION("""COMPUTED_VALUE"""),"U.S. Consulate General Ho Chi Minh City")</f>
        <v>U.S. Consulate General Ho Chi Minh City</v>
      </c>
      <c r="D574" s="59" t="str">
        <f>IFERROR(__xludf.DUMMYFUNCTION("""COMPUTED_VALUE"""),"YouTube")</f>
        <v>YouTube</v>
      </c>
      <c r="E574" s="60" t="str">
        <f>IFERROR(__xludf.DUMMYFUNCTION("""COMPUTED_VALUE"""),"youtube.com/user/usconsulatehcm")</f>
        <v>youtube.com/user/usconsulatehcm</v>
      </c>
    </row>
    <row r="575">
      <c r="A575" s="59" t="str">
        <f>IFERROR(__xludf.DUMMYFUNCTION("""COMPUTED_VALUE"""),"EAP")</f>
        <v>EAP</v>
      </c>
      <c r="B575" s="59" t="str">
        <f>IFERROR(__xludf.DUMMYFUNCTION("""COMPUTED_VALUE"""),"Vietnam")</f>
        <v>Vietnam</v>
      </c>
      <c r="C575" s="59" t="str">
        <f>IFERROR(__xludf.DUMMYFUNCTION("""COMPUTED_VALUE"""),"U.S. Embassy Hanoi")</f>
        <v>U.S. Embassy Hanoi</v>
      </c>
      <c r="D575" s="59" t="str">
        <f>IFERROR(__xludf.DUMMYFUNCTION("""COMPUTED_VALUE"""),"Facebook")</f>
        <v>Facebook</v>
      </c>
      <c r="E575" s="60" t="str">
        <f>IFERROR(__xludf.DUMMYFUNCTION("""COMPUTED_VALUE"""),"https://www.facebook.com/usembassyhanoi/")</f>
        <v>https://www.facebook.com/usembassyhanoi/</v>
      </c>
    </row>
    <row r="576">
      <c r="A576" s="59" t="str">
        <f>IFERROR(__xludf.DUMMYFUNCTION("""COMPUTED_VALUE"""),"EAP")</f>
        <v>EAP</v>
      </c>
      <c r="B576" s="59" t="str">
        <f>IFERROR(__xludf.DUMMYFUNCTION("""COMPUTED_VALUE"""),"Vietnam")</f>
        <v>Vietnam</v>
      </c>
      <c r="C576" s="59" t="str">
        <f>IFERROR(__xludf.DUMMYFUNCTION("""COMPUTED_VALUE"""),"American Center Hanoi")</f>
        <v>American Center Hanoi</v>
      </c>
      <c r="D576" s="59" t="str">
        <f>IFERROR(__xludf.DUMMYFUNCTION("""COMPUTED_VALUE"""),"Flickr")</f>
        <v>Flickr</v>
      </c>
      <c r="E576" s="60" t="str">
        <f>IFERROR(__xludf.DUMMYFUNCTION("""COMPUTED_VALUE"""),"https://www.flickr.com/photos/achanoi")</f>
        <v>https://www.flickr.com/photos/achanoi</v>
      </c>
    </row>
    <row r="577">
      <c r="A577" s="59" t="str">
        <f>IFERROR(__xludf.DUMMYFUNCTION("""COMPUTED_VALUE"""),"EAP")</f>
        <v>EAP</v>
      </c>
      <c r="B577" s="59" t="str">
        <f>IFERROR(__xludf.DUMMYFUNCTION("""COMPUTED_VALUE"""),"Vietnam")</f>
        <v>Vietnam</v>
      </c>
      <c r="C577" s="59" t="str">
        <f>IFERROR(__xludf.DUMMYFUNCTION("""COMPUTED_VALUE"""),"U.S. Embassy Hanoi")</f>
        <v>U.S. Embassy Hanoi</v>
      </c>
      <c r="D577" s="59" t="str">
        <f>IFERROR(__xludf.DUMMYFUNCTION("""COMPUTED_VALUE"""),"Instagram")</f>
        <v>Instagram</v>
      </c>
      <c r="E577" s="60" t="str">
        <f>IFERROR(__xludf.DUMMYFUNCTION("""COMPUTED_VALUE"""),"https://www.instagram.com/usembassyvietnam/")</f>
        <v>https://www.instagram.com/usembassyvietnam/</v>
      </c>
    </row>
    <row r="578">
      <c r="A578" s="59" t="str">
        <f>IFERROR(__xludf.DUMMYFUNCTION("""COMPUTED_VALUE"""),"EAP")</f>
        <v>EAP</v>
      </c>
      <c r="B578" s="59" t="str">
        <f>IFERROR(__xludf.DUMMYFUNCTION("""COMPUTED_VALUE"""),"Vietnam")</f>
        <v>Vietnam</v>
      </c>
      <c r="C578" s="59" t="str">
        <f>IFERROR(__xludf.DUMMYFUNCTION("""COMPUTED_VALUE"""),"U.S. Embassy Hanoi")</f>
        <v>U.S. Embassy Hanoi</v>
      </c>
      <c r="D578" s="59" t="str">
        <f>IFERROR(__xludf.DUMMYFUNCTION("""COMPUTED_VALUE"""),"YouTube")</f>
        <v>YouTube</v>
      </c>
      <c r="E578" s="60" t="str">
        <f>IFERROR(__xludf.DUMMYFUNCTION("""COMPUTED_VALUE"""),"https://www.youtube.com/@usembassyvn")</f>
        <v>https://www.youtube.com/@usembassyvn</v>
      </c>
    </row>
    <row r="579">
      <c r="A579" s="59" t="str">
        <f>IFERROR(__xludf.DUMMYFUNCTION("""COMPUTED_VALUE"""),"EAP")</f>
        <v>EAP</v>
      </c>
      <c r="B579" s="59" t="str">
        <f>IFERROR(__xludf.DUMMYFUNCTION("""COMPUTED_VALUE"""),"Vietnam")</f>
        <v>Vietnam</v>
      </c>
      <c r="C579" s="59" t="str">
        <f>IFERROR(__xludf.DUMMYFUNCTION("""COMPUTED_VALUE"""),"U.S. Embassy Hanoi")</f>
        <v>U.S. Embassy Hanoi</v>
      </c>
      <c r="D579" s="59" t="str">
        <f>IFERROR(__xludf.DUMMYFUNCTION("""COMPUTED_VALUE"""),"Zalo")</f>
        <v>Zalo</v>
      </c>
      <c r="E579" s="60" t="str">
        <f>IFERROR(__xludf.DUMMYFUNCTION("""COMPUTED_VALUE"""),"https://zalo.me/usconsulate")</f>
        <v>https://zalo.me/usconsulate</v>
      </c>
    </row>
    <row r="580">
      <c r="A580" s="59" t="str">
        <f>IFERROR(__xludf.DUMMYFUNCTION("""COMPUTED_VALUE"""),"EUR")</f>
        <v>EUR</v>
      </c>
      <c r="B580" s="59" t="str">
        <f>IFERROR(__xludf.DUMMYFUNCTION("""COMPUTED_VALUE"""),"Albania")</f>
        <v>Albania</v>
      </c>
      <c r="C580" s="59" t="str">
        <f>IFERROR(__xludf.DUMMYFUNCTION("""COMPUTED_VALUE"""),"U.S. Embassy Tirana")</f>
        <v>U.S. Embassy Tirana</v>
      </c>
      <c r="D580" s="59" t="str">
        <f>IFERROR(__xludf.DUMMYFUNCTION("""COMPUTED_VALUE"""),"Facebook")</f>
        <v>Facebook</v>
      </c>
      <c r="E580" s="60" t="str">
        <f>IFERROR(__xludf.DUMMYFUNCTION("""COMPUTED_VALUE"""),"https://www.facebook.com/usembassytirana/")</f>
        <v>https://www.facebook.com/usembassytirana/</v>
      </c>
    </row>
    <row r="581">
      <c r="A581" s="59" t="str">
        <f>IFERROR(__xludf.DUMMYFUNCTION("""COMPUTED_VALUE"""),"EUR")</f>
        <v>EUR</v>
      </c>
      <c r="B581" s="59" t="str">
        <f>IFERROR(__xludf.DUMMYFUNCTION("""COMPUTED_VALUE"""),"Albania")</f>
        <v>Albania</v>
      </c>
      <c r="C581" s="59" t="str">
        <f>IFERROR(__xludf.DUMMYFUNCTION("""COMPUTED_VALUE"""),"U.S. Embassy Tirana")</f>
        <v>U.S. Embassy Tirana</v>
      </c>
      <c r="D581" s="59" t="str">
        <f>IFERROR(__xludf.DUMMYFUNCTION("""COMPUTED_VALUE"""),"Instagram")</f>
        <v>Instagram</v>
      </c>
      <c r="E581" s="60" t="str">
        <f>IFERROR(__xludf.DUMMYFUNCTION("""COMPUTED_VALUE"""),"https://www.instagram.com/usembassytirana")</f>
        <v>https://www.instagram.com/usembassytirana</v>
      </c>
    </row>
    <row r="582">
      <c r="A582" s="59" t="str">
        <f>IFERROR(__xludf.DUMMYFUNCTION("""COMPUTED_VALUE"""),"EUR")</f>
        <v>EUR</v>
      </c>
      <c r="B582" s="59" t="str">
        <f>IFERROR(__xludf.DUMMYFUNCTION("""COMPUTED_VALUE"""),"Albania")</f>
        <v>Albania</v>
      </c>
      <c r="C582" s="59" t="str">
        <f>IFERROR(__xludf.DUMMYFUNCTION("""COMPUTED_VALUE"""),"U.S. Embassy Tirana")</f>
        <v>U.S. Embassy Tirana</v>
      </c>
      <c r="D582" s="59" t="str">
        <f>IFERROR(__xludf.DUMMYFUNCTION("""COMPUTED_VALUE"""),"X")</f>
        <v>X</v>
      </c>
      <c r="E582" s="60" t="str">
        <f>IFERROR(__xludf.DUMMYFUNCTION("""COMPUTED_VALUE"""),"https://x.com/USEmbassyTirana")</f>
        <v>https://x.com/USEmbassyTirana</v>
      </c>
    </row>
    <row r="583">
      <c r="A583" s="59" t="str">
        <f>IFERROR(__xludf.DUMMYFUNCTION("""COMPUTED_VALUE"""),"EUR")</f>
        <v>EUR</v>
      </c>
      <c r="B583" s="59" t="str">
        <f>IFERROR(__xludf.DUMMYFUNCTION("""COMPUTED_VALUE"""),"Albania")</f>
        <v>Albania</v>
      </c>
      <c r="C583" s="59" t="str">
        <f>IFERROR(__xludf.DUMMYFUNCTION("""COMPUTED_VALUE"""),"U.S. Embassy Tirana")</f>
        <v>U.S. Embassy Tirana</v>
      </c>
      <c r="D583" s="59" t="str">
        <f>IFERROR(__xludf.DUMMYFUNCTION("""COMPUTED_VALUE"""),"YouTube")</f>
        <v>YouTube</v>
      </c>
      <c r="E583" s="60" t="str">
        <f>IFERROR(__xludf.DUMMYFUNCTION("""COMPUTED_VALUE"""),"https://www.youtube.com/USEmbassyTirana")</f>
        <v>https://www.youtube.com/USEmbassyTirana</v>
      </c>
    </row>
    <row r="584">
      <c r="A584" s="59" t="str">
        <f>IFERROR(__xludf.DUMMYFUNCTION("""COMPUTED_VALUE"""),"EUR")</f>
        <v>EUR</v>
      </c>
      <c r="B584" s="59" t="str">
        <f>IFERROR(__xludf.DUMMYFUNCTION("""COMPUTED_VALUE"""),"Albania")</f>
        <v>Albania</v>
      </c>
      <c r="C584" s="59" t="str">
        <f>IFERROR(__xludf.DUMMYFUNCTION("""COMPUTED_VALUE"""),"U.S. Ambassador to Albania")</f>
        <v>U.S. Ambassador to Albania</v>
      </c>
      <c r="D584" s="59" t="str">
        <f>IFERROR(__xludf.DUMMYFUNCTION("""COMPUTED_VALUE"""),"X")</f>
        <v>X</v>
      </c>
      <c r="E584" s="60" t="str">
        <f>IFERROR(__xludf.DUMMYFUNCTION("""COMPUTED_VALUE"""),"https://x.com/USAmbAlbania")</f>
        <v>https://x.com/USAmbAlbania</v>
      </c>
    </row>
    <row r="585">
      <c r="A585" s="59" t="str">
        <f>IFERROR(__xludf.DUMMYFUNCTION("""COMPUTED_VALUE"""),"EUR")</f>
        <v>EUR</v>
      </c>
      <c r="B585" s="59" t="str">
        <f>IFERROR(__xludf.DUMMYFUNCTION("""COMPUTED_VALUE"""),"Armenia")</f>
        <v>Armenia</v>
      </c>
      <c r="C585" s="59" t="str">
        <f>IFERROR(__xludf.DUMMYFUNCTION("""COMPUTED_VALUE"""),"U.S. Embassy Yerevan")</f>
        <v>U.S. Embassy Yerevan</v>
      </c>
      <c r="D585" s="59" t="str">
        <f>IFERROR(__xludf.DUMMYFUNCTION("""COMPUTED_VALUE"""),"Facebook")</f>
        <v>Facebook</v>
      </c>
      <c r="E585" s="60" t="str">
        <f>IFERROR(__xludf.DUMMYFUNCTION("""COMPUTED_VALUE"""),"https://www.facebook.com/usembarmenia/")</f>
        <v>https://www.facebook.com/usembarmenia/</v>
      </c>
    </row>
    <row r="586">
      <c r="A586" s="59" t="str">
        <f>IFERROR(__xludf.DUMMYFUNCTION("""COMPUTED_VALUE"""),"EUR")</f>
        <v>EUR</v>
      </c>
      <c r="B586" s="59" t="str">
        <f>IFERROR(__xludf.DUMMYFUNCTION("""COMPUTED_VALUE"""),"Armenia")</f>
        <v>Armenia</v>
      </c>
      <c r="C586" s="59" t="str">
        <f>IFERROR(__xludf.DUMMYFUNCTION("""COMPUTED_VALUE"""),"U.S. Embassy Yerevan")</f>
        <v>U.S. Embassy Yerevan</v>
      </c>
      <c r="D586" s="59" t="str">
        <f>IFERROR(__xludf.DUMMYFUNCTION("""COMPUTED_VALUE"""),"Instagram")</f>
        <v>Instagram</v>
      </c>
      <c r="E586" s="60" t="str">
        <f>IFERROR(__xludf.DUMMYFUNCTION("""COMPUTED_VALUE"""),"https://www.instagram.com/usembarmenia/")</f>
        <v>https://www.instagram.com/usembarmenia/</v>
      </c>
    </row>
    <row r="587">
      <c r="A587" s="59" t="str">
        <f>IFERROR(__xludf.DUMMYFUNCTION("""COMPUTED_VALUE"""),"EUR")</f>
        <v>EUR</v>
      </c>
      <c r="B587" s="59" t="str">
        <f>IFERROR(__xludf.DUMMYFUNCTION("""COMPUTED_VALUE"""),"Armenia")</f>
        <v>Armenia</v>
      </c>
      <c r="C587" s="59" t="str">
        <f>IFERROR(__xludf.DUMMYFUNCTION("""COMPUTED_VALUE"""),"U.S. Embassy Yerevan")</f>
        <v>U.S. Embassy Yerevan</v>
      </c>
      <c r="D587" s="59" t="str">
        <f>IFERROR(__xludf.DUMMYFUNCTION("""COMPUTED_VALUE"""),"X")</f>
        <v>X</v>
      </c>
      <c r="E587" s="60" t="str">
        <f>IFERROR(__xludf.DUMMYFUNCTION("""COMPUTED_VALUE"""),"https://x.com/usembarmenia")</f>
        <v>https://x.com/usembarmenia</v>
      </c>
    </row>
    <row r="588">
      <c r="A588" s="59" t="str">
        <f>IFERROR(__xludf.DUMMYFUNCTION("""COMPUTED_VALUE"""),"EUR")</f>
        <v>EUR</v>
      </c>
      <c r="B588" s="59" t="str">
        <f>IFERROR(__xludf.DUMMYFUNCTION("""COMPUTED_VALUE"""),"Armenia")</f>
        <v>Armenia</v>
      </c>
      <c r="C588" s="59" t="str">
        <f>IFERROR(__xludf.DUMMYFUNCTION("""COMPUTED_VALUE"""),"U.S. Embassy Yerevan")</f>
        <v>U.S. Embassy Yerevan</v>
      </c>
      <c r="D588" s="59" t="str">
        <f>IFERROR(__xludf.DUMMYFUNCTION("""COMPUTED_VALUE"""),"YouTube")</f>
        <v>YouTube</v>
      </c>
      <c r="E588" s="60" t="str">
        <f>IFERROR(__xludf.DUMMYFUNCTION("""COMPUTED_VALUE"""),"https://www.youtube.com/@usembassyarmenia/")</f>
        <v>https://www.youtube.com/@usembassyarmenia/</v>
      </c>
    </row>
    <row r="589">
      <c r="A589" s="59" t="str">
        <f>IFERROR(__xludf.DUMMYFUNCTION("""COMPUTED_VALUE"""),"EUR")</f>
        <v>EUR</v>
      </c>
      <c r="B589" s="59" t="str">
        <f>IFERROR(__xludf.DUMMYFUNCTION("""COMPUTED_VALUE"""),"Armenia")</f>
        <v>Armenia</v>
      </c>
      <c r="C589" s="59" t="str">
        <f>IFERROR(__xludf.DUMMYFUNCTION("""COMPUTED_VALUE"""),"U.S. Embassy Yerevan")</f>
        <v>U.S. Embassy Yerevan</v>
      </c>
      <c r="D589" s="59" t="str">
        <f>IFERROR(__xludf.DUMMYFUNCTION("""COMPUTED_VALUE"""),"LinkedIn")</f>
        <v>LinkedIn</v>
      </c>
      <c r="E589" s="60" t="str">
        <f>IFERROR(__xludf.DUMMYFUNCTION("""COMPUTED_VALUE"""),"https://www.linkedin.com/company/usembarmenia/")</f>
        <v>https://www.linkedin.com/company/usembarmenia/</v>
      </c>
    </row>
    <row r="590">
      <c r="A590" s="59" t="str">
        <f>IFERROR(__xludf.DUMMYFUNCTION("""COMPUTED_VALUE"""),"EUR")</f>
        <v>EUR</v>
      </c>
      <c r="B590" s="59" t="str">
        <f>IFERROR(__xludf.DUMMYFUNCTION("""COMPUTED_VALUE"""),"Austria")</f>
        <v>Austria</v>
      </c>
      <c r="C590" s="59" t="str">
        <f>IFERROR(__xludf.DUMMYFUNCTION("""COMPUTED_VALUE"""),"U.S. Ambassador to Austria")</f>
        <v>U.S. Ambassador to Austria</v>
      </c>
      <c r="D590" s="59" t="str">
        <f>IFERROR(__xludf.DUMMYFUNCTION("""COMPUTED_VALUE"""),"X")</f>
        <v>X</v>
      </c>
      <c r="E590" s="60" t="str">
        <f>IFERROR(__xludf.DUMMYFUNCTION("""COMPUTED_VALUE"""),"https://x.com/USAmbAustria")</f>
        <v>https://x.com/USAmbAustria</v>
      </c>
    </row>
    <row r="591">
      <c r="A591" s="59" t="str">
        <f>IFERROR(__xludf.DUMMYFUNCTION("""COMPUTED_VALUE"""),"EUR")</f>
        <v>EUR</v>
      </c>
      <c r="B591" s="59" t="str">
        <f>IFERROR(__xludf.DUMMYFUNCTION("""COMPUTED_VALUE"""),"Austria")</f>
        <v>Austria</v>
      </c>
      <c r="C591" s="59" t="str">
        <f>IFERROR(__xludf.DUMMYFUNCTION("""COMPUTED_VALUE"""),"U.S. Embassy Vienna")</f>
        <v>U.S. Embassy Vienna</v>
      </c>
      <c r="D591" s="59" t="str">
        <f>IFERROR(__xludf.DUMMYFUNCTION("""COMPUTED_VALUE"""),"Facebook")</f>
        <v>Facebook</v>
      </c>
      <c r="E591" s="60" t="str">
        <f>IFERROR(__xludf.DUMMYFUNCTION("""COMPUTED_VALUE"""),"https://www.facebook.com/USEmbVienna/")</f>
        <v>https://www.facebook.com/USEmbVienna/</v>
      </c>
    </row>
    <row r="592">
      <c r="A592" s="59" t="str">
        <f>IFERROR(__xludf.DUMMYFUNCTION("""COMPUTED_VALUE"""),"EUR")</f>
        <v>EUR</v>
      </c>
      <c r="B592" s="59" t="str">
        <f>IFERROR(__xludf.DUMMYFUNCTION("""COMPUTED_VALUE"""),"Austria")</f>
        <v>Austria</v>
      </c>
      <c r="C592" s="59" t="str">
        <f>IFERROR(__xludf.DUMMYFUNCTION("""COMPUTED_VALUE"""),"U.S. Embassy Vienna")</f>
        <v>U.S. Embassy Vienna</v>
      </c>
      <c r="D592" s="59" t="str">
        <f>IFERROR(__xludf.DUMMYFUNCTION("""COMPUTED_VALUE"""),"Instagram")</f>
        <v>Instagram</v>
      </c>
      <c r="E592" s="60" t="str">
        <f>IFERROR(__xludf.DUMMYFUNCTION("""COMPUTED_VALUE"""),"https://www.instagram.com/usembvienna")</f>
        <v>https://www.instagram.com/usembvienna</v>
      </c>
    </row>
    <row r="593">
      <c r="A593" s="59" t="str">
        <f>IFERROR(__xludf.DUMMYFUNCTION("""COMPUTED_VALUE"""),"EUR")</f>
        <v>EUR</v>
      </c>
      <c r="B593" s="59" t="str">
        <f>IFERROR(__xludf.DUMMYFUNCTION("""COMPUTED_VALUE"""),"Austria")</f>
        <v>Austria</v>
      </c>
      <c r="C593" s="59" t="str">
        <f>IFERROR(__xludf.DUMMYFUNCTION("""COMPUTED_VALUE"""),"U.S. Embassy Vienna")</f>
        <v>U.S. Embassy Vienna</v>
      </c>
      <c r="D593" s="59" t="str">
        <f>IFERROR(__xludf.DUMMYFUNCTION("""COMPUTED_VALUE"""),"LinkedIn")</f>
        <v>LinkedIn</v>
      </c>
      <c r="E593" s="60" t="str">
        <f>IFERROR(__xludf.DUMMYFUNCTION("""COMPUTED_VALUE"""),"https://www.linkedin.com/company/us-embassy-vienna/")</f>
        <v>https://www.linkedin.com/company/us-embassy-vienna/</v>
      </c>
    </row>
    <row r="594">
      <c r="A594" s="59" t="str">
        <f>IFERROR(__xludf.DUMMYFUNCTION("""COMPUTED_VALUE"""),"EUR")</f>
        <v>EUR</v>
      </c>
      <c r="B594" s="59" t="str">
        <f>IFERROR(__xludf.DUMMYFUNCTION("""COMPUTED_VALUE"""),"Austria")</f>
        <v>Austria</v>
      </c>
      <c r="C594" s="59" t="str">
        <f>IFERROR(__xludf.DUMMYFUNCTION("""COMPUTED_VALUE"""),"U.S. Embassy Vienna")</f>
        <v>U.S. Embassy Vienna</v>
      </c>
      <c r="D594" s="59" t="str">
        <f>IFERROR(__xludf.DUMMYFUNCTION("""COMPUTED_VALUE"""),"X")</f>
        <v>X</v>
      </c>
      <c r="E594" s="60" t="str">
        <f>IFERROR(__xludf.DUMMYFUNCTION("""COMPUTED_VALUE"""),"https://x.com/usembvienna")</f>
        <v>https://x.com/usembvienna</v>
      </c>
    </row>
    <row r="595">
      <c r="A595" s="59" t="str">
        <f>IFERROR(__xludf.DUMMYFUNCTION("""COMPUTED_VALUE"""),"EUR")</f>
        <v>EUR</v>
      </c>
      <c r="B595" s="59" t="str">
        <f>IFERROR(__xludf.DUMMYFUNCTION("""COMPUTED_VALUE"""),"Austria")</f>
        <v>Austria</v>
      </c>
      <c r="C595" s="59" t="str">
        <f>IFERROR(__xludf.DUMMYFUNCTION("""COMPUTED_VALUE"""),"U.S. Embassy Vienna")</f>
        <v>U.S. Embassy Vienna</v>
      </c>
      <c r="D595" s="59" t="str">
        <f>IFERROR(__xludf.DUMMYFUNCTION("""COMPUTED_VALUE"""),"YouTube")</f>
        <v>YouTube</v>
      </c>
      <c r="E595" s="60" t="str">
        <f>IFERROR(__xludf.DUMMYFUNCTION("""COMPUTED_VALUE"""),"https://www.youtube.com/user/USEmbassyVienna")</f>
        <v>https://www.youtube.com/user/USEmbassyVienna</v>
      </c>
    </row>
    <row r="596">
      <c r="A596" s="59" t="str">
        <f>IFERROR(__xludf.DUMMYFUNCTION("""COMPUTED_VALUE"""),"EUR")</f>
        <v>EUR</v>
      </c>
      <c r="B596" s="59" t="str">
        <f>IFERROR(__xludf.DUMMYFUNCTION("""COMPUTED_VALUE"""),"Austria")</f>
        <v>Austria</v>
      </c>
      <c r="C596" s="59" t="str">
        <f>IFERROR(__xludf.DUMMYFUNCTION("""COMPUTED_VALUE"""),"U.S. Mission to the OSCE")</f>
        <v>U.S. Mission to the OSCE</v>
      </c>
      <c r="D596" s="59" t="str">
        <f>IFERROR(__xludf.DUMMYFUNCTION("""COMPUTED_VALUE"""),"Facebook")</f>
        <v>Facebook</v>
      </c>
      <c r="E596" s="60" t="str">
        <f>IFERROR(__xludf.DUMMYFUNCTION("""COMPUTED_VALUE"""),"https://www.facebook.com/USOSCE/")</f>
        <v>https://www.facebook.com/USOSCE/</v>
      </c>
    </row>
    <row r="597">
      <c r="A597" s="59" t="str">
        <f>IFERROR(__xludf.DUMMYFUNCTION("""COMPUTED_VALUE"""),"EUR")</f>
        <v>EUR</v>
      </c>
      <c r="B597" s="59" t="str">
        <f>IFERROR(__xludf.DUMMYFUNCTION("""COMPUTED_VALUE"""),"Austria")</f>
        <v>Austria</v>
      </c>
      <c r="C597" s="59" t="str">
        <f>IFERROR(__xludf.DUMMYFUNCTION("""COMPUTED_VALUE"""),"U.S. Ambassador to the OSCE")</f>
        <v>U.S. Ambassador to the OSCE</v>
      </c>
      <c r="D597" s="59" t="str">
        <f>IFERROR(__xludf.DUMMYFUNCTION("""COMPUTED_VALUE"""),"X")</f>
        <v>X</v>
      </c>
      <c r="E597" s="60" t="str">
        <f>IFERROR(__xludf.DUMMYFUNCTION("""COMPUTED_VALUE"""),"https://x.com/USAmbOSCE")</f>
        <v>https://x.com/USAmbOSCE</v>
      </c>
    </row>
    <row r="598">
      <c r="A598" s="59" t="str">
        <f>IFERROR(__xludf.DUMMYFUNCTION("""COMPUTED_VALUE"""),"EUR")</f>
        <v>EUR</v>
      </c>
      <c r="B598" s="59" t="str">
        <f>IFERROR(__xludf.DUMMYFUNCTION("""COMPUTED_VALUE"""),"Austria")</f>
        <v>Austria</v>
      </c>
      <c r="C598" s="59" t="str">
        <f>IFERROR(__xludf.DUMMYFUNCTION("""COMPUTED_VALUE"""),"U.S. Mission to the OSCE")</f>
        <v>U.S. Mission to the OSCE</v>
      </c>
      <c r="D598" s="59" t="str">
        <f>IFERROR(__xludf.DUMMYFUNCTION("""COMPUTED_VALUE"""),"X")</f>
        <v>X</v>
      </c>
      <c r="E598" s="60" t="str">
        <f>IFERROR(__xludf.DUMMYFUNCTION("""COMPUTED_VALUE"""),"https://x.com/usosce")</f>
        <v>https://x.com/usosce</v>
      </c>
    </row>
    <row r="599">
      <c r="A599" s="59" t="str">
        <f>IFERROR(__xludf.DUMMYFUNCTION("""COMPUTED_VALUE"""),"EUR")</f>
        <v>EUR</v>
      </c>
      <c r="B599" s="59" t="str">
        <f>IFERROR(__xludf.DUMMYFUNCTION("""COMPUTED_VALUE"""),"Austria")</f>
        <v>Austria</v>
      </c>
      <c r="C599" s="59" t="str">
        <f>IFERROR(__xludf.DUMMYFUNCTION("""COMPUTED_VALUE"""),"U.S. Mission to the OSCE")</f>
        <v>U.S. Mission to the OSCE</v>
      </c>
      <c r="D599" s="59" t="str">
        <f>IFERROR(__xludf.DUMMYFUNCTION("""COMPUTED_VALUE"""),"VKontakte")</f>
        <v>VKontakte</v>
      </c>
      <c r="E599" s="60" t="str">
        <f>IFERROR(__xludf.DUMMYFUNCTION("""COMPUTED_VALUE"""),"https://vk.com/usosce")</f>
        <v>https://vk.com/usosce</v>
      </c>
    </row>
    <row r="600">
      <c r="A600" s="59" t="str">
        <f>IFERROR(__xludf.DUMMYFUNCTION("""COMPUTED_VALUE"""),"EUR")</f>
        <v>EUR</v>
      </c>
      <c r="B600" s="59" t="str">
        <f>IFERROR(__xludf.DUMMYFUNCTION("""COMPUTED_VALUE"""),"Austria")</f>
        <v>Austria</v>
      </c>
      <c r="C600" s="59" t="str">
        <f>IFERROR(__xludf.DUMMYFUNCTION("""COMPUTED_VALUE"""),"U.S. Mission to the OSCE")</f>
        <v>U.S. Mission to the OSCE</v>
      </c>
      <c r="D600" s="59" t="str">
        <f>IFERROR(__xludf.DUMMYFUNCTION("""COMPUTED_VALUE"""),"YouTube")</f>
        <v>YouTube</v>
      </c>
      <c r="E600" s="60" t="str">
        <f>IFERROR(__xludf.DUMMYFUNCTION("""COMPUTED_VALUE"""),"https://www.youtube.com/user/usosce")</f>
        <v>https://www.youtube.com/user/usosce</v>
      </c>
    </row>
    <row r="601">
      <c r="A601" s="59" t="str">
        <f>IFERROR(__xludf.DUMMYFUNCTION("""COMPUTED_VALUE"""),"EUR")</f>
        <v>EUR</v>
      </c>
      <c r="B601" s="59" t="str">
        <f>IFERROR(__xludf.DUMMYFUNCTION("""COMPUTED_VALUE"""),"Azerbaijan")</f>
        <v>Azerbaijan</v>
      </c>
      <c r="C601" s="59" t="str">
        <f>IFERROR(__xludf.DUMMYFUNCTION("""COMPUTED_VALUE"""),"U.S. Embassy Baku")</f>
        <v>U.S. Embassy Baku</v>
      </c>
      <c r="D601" s="59" t="str">
        <f>IFERROR(__xludf.DUMMYFUNCTION("""COMPUTED_VALUE"""),"Facebook")</f>
        <v>Facebook</v>
      </c>
      <c r="E601" s="60" t="str">
        <f>IFERROR(__xludf.DUMMYFUNCTION("""COMPUTED_VALUE"""),"https://www.facebook.com/baku.usembassy/")</f>
        <v>https://www.facebook.com/baku.usembassy/</v>
      </c>
    </row>
    <row r="602">
      <c r="A602" s="59" t="str">
        <f>IFERROR(__xludf.DUMMYFUNCTION("""COMPUTED_VALUE"""),"EUR")</f>
        <v>EUR</v>
      </c>
      <c r="B602" s="59" t="str">
        <f>IFERROR(__xludf.DUMMYFUNCTION("""COMPUTED_VALUE"""),"Azerbaijan")</f>
        <v>Azerbaijan</v>
      </c>
      <c r="C602" s="59" t="str">
        <f>IFERROR(__xludf.DUMMYFUNCTION("""COMPUTED_VALUE"""),"U.S. Embassy Baku")</f>
        <v>U.S. Embassy Baku</v>
      </c>
      <c r="D602" s="59" t="str">
        <f>IFERROR(__xludf.DUMMYFUNCTION("""COMPUTED_VALUE"""),"Instagram")</f>
        <v>Instagram</v>
      </c>
      <c r="E602" s="60" t="str">
        <f>IFERROR(__xludf.DUMMYFUNCTION("""COMPUTED_VALUE"""),"https://www.instagram.com/usembaku/")</f>
        <v>https://www.instagram.com/usembaku/</v>
      </c>
    </row>
    <row r="603">
      <c r="A603" s="59" t="str">
        <f>IFERROR(__xludf.DUMMYFUNCTION("""COMPUTED_VALUE"""),"EUR")</f>
        <v>EUR</v>
      </c>
      <c r="B603" s="59" t="str">
        <f>IFERROR(__xludf.DUMMYFUNCTION("""COMPUTED_VALUE"""),"Azerbaijan")</f>
        <v>Azerbaijan</v>
      </c>
      <c r="C603" s="59" t="str">
        <f>IFERROR(__xludf.DUMMYFUNCTION("""COMPUTED_VALUE"""),"U.S. Embassy Baku")</f>
        <v>U.S. Embassy Baku</v>
      </c>
      <c r="D603" s="59" t="str">
        <f>IFERROR(__xludf.DUMMYFUNCTION("""COMPUTED_VALUE"""),"X")</f>
        <v>X</v>
      </c>
      <c r="E603" s="60" t="str">
        <f>IFERROR(__xludf.DUMMYFUNCTION("""COMPUTED_VALUE"""),"https://x.com/USEmbassyBaku")</f>
        <v>https://x.com/USEmbassyBaku</v>
      </c>
    </row>
    <row r="604">
      <c r="A604" s="59" t="str">
        <f>IFERROR(__xludf.DUMMYFUNCTION("""COMPUTED_VALUE"""),"EUR")</f>
        <v>EUR</v>
      </c>
      <c r="B604" s="59" t="str">
        <f>IFERROR(__xludf.DUMMYFUNCTION("""COMPUTED_VALUE"""),"Azerbaijan")</f>
        <v>Azerbaijan</v>
      </c>
      <c r="C604" s="59" t="str">
        <f>IFERROR(__xludf.DUMMYFUNCTION("""COMPUTED_VALUE"""),"U.S. Embassy Baku")</f>
        <v>U.S. Embassy Baku</v>
      </c>
      <c r="D604" s="59" t="str">
        <f>IFERROR(__xludf.DUMMYFUNCTION("""COMPUTED_VALUE"""),"YouTube")</f>
        <v>YouTube</v>
      </c>
      <c r="E604" s="60" t="str">
        <f>IFERROR(__xludf.DUMMYFUNCTION("""COMPUTED_VALUE"""),"youtube.com/user/usembassybaku")</f>
        <v>youtube.com/user/usembassybaku</v>
      </c>
    </row>
    <row r="605">
      <c r="A605" s="59" t="str">
        <f>IFERROR(__xludf.DUMMYFUNCTION("""COMPUTED_VALUE"""),"EUR")</f>
        <v>EUR</v>
      </c>
      <c r="B605" s="59" t="str">
        <f>IFERROR(__xludf.DUMMYFUNCTION("""COMPUTED_VALUE"""),"Belarus")</f>
        <v>Belarus</v>
      </c>
      <c r="C605" s="59" t="str">
        <f>IFERROR(__xludf.DUMMYFUNCTION("""COMPUTED_VALUE"""),"U.S. Embassy Minsk")</f>
        <v>U.S. Embassy Minsk</v>
      </c>
      <c r="D605" s="59" t="str">
        <f>IFERROR(__xludf.DUMMYFUNCTION("""COMPUTED_VALUE"""),"Facebook")</f>
        <v>Facebook</v>
      </c>
      <c r="E605" s="60" t="str">
        <f>IFERROR(__xludf.DUMMYFUNCTION("""COMPUTED_VALUE"""),"https://www.facebook.com/usembassy.minsk/")</f>
        <v>https://www.facebook.com/usembassy.minsk/</v>
      </c>
    </row>
    <row r="606">
      <c r="A606" s="59" t="str">
        <f>IFERROR(__xludf.DUMMYFUNCTION("""COMPUTED_VALUE"""),"EUR")</f>
        <v>EUR</v>
      </c>
      <c r="B606" s="59" t="str">
        <f>IFERROR(__xludf.DUMMYFUNCTION("""COMPUTED_VALUE"""),"Belarus")</f>
        <v>Belarus</v>
      </c>
      <c r="C606" s="59" t="str">
        <f>IFERROR(__xludf.DUMMYFUNCTION("""COMPUTED_VALUE"""),"U.S. Embassy Minsk")</f>
        <v>U.S. Embassy Minsk</v>
      </c>
      <c r="D606" s="59" t="str">
        <f>IFERROR(__xludf.DUMMYFUNCTION("""COMPUTED_VALUE"""),"Instagram")</f>
        <v>Instagram</v>
      </c>
      <c r="E606" s="60" t="str">
        <f>IFERROR(__xludf.DUMMYFUNCTION("""COMPUTED_VALUE"""),"https://www.instagram.com/usembby/")</f>
        <v>https://www.instagram.com/usembby/</v>
      </c>
    </row>
    <row r="607">
      <c r="A607" s="59" t="str">
        <f>IFERROR(__xludf.DUMMYFUNCTION("""COMPUTED_VALUE"""),"EUR")</f>
        <v>EUR</v>
      </c>
      <c r="B607" s="59" t="str">
        <f>IFERROR(__xludf.DUMMYFUNCTION("""COMPUTED_VALUE"""),"Belarus")</f>
        <v>Belarus</v>
      </c>
      <c r="C607" s="59" t="str">
        <f>IFERROR(__xludf.DUMMYFUNCTION("""COMPUTED_VALUE"""),"U.S. Embassy Minsk")</f>
        <v>U.S. Embassy Minsk</v>
      </c>
      <c r="D607" s="59" t="str">
        <f>IFERROR(__xludf.DUMMYFUNCTION("""COMPUTED_VALUE"""),"X")</f>
        <v>X</v>
      </c>
      <c r="E607" s="60" t="str">
        <f>IFERROR(__xludf.DUMMYFUNCTION("""COMPUTED_VALUE"""),"https://x.com/USEmbBy")</f>
        <v>https://x.com/USEmbBy</v>
      </c>
    </row>
    <row r="608">
      <c r="A608" s="59" t="str">
        <f>IFERROR(__xludf.DUMMYFUNCTION("""COMPUTED_VALUE"""),"EUR")</f>
        <v>EUR</v>
      </c>
      <c r="B608" s="59" t="str">
        <f>IFERROR(__xludf.DUMMYFUNCTION("""COMPUTED_VALUE"""),"Belarus")</f>
        <v>Belarus</v>
      </c>
      <c r="C608" s="59" t="str">
        <f>IFERROR(__xludf.DUMMYFUNCTION("""COMPUTED_VALUE"""),"U.S. Embassy Minsk")</f>
        <v>U.S. Embassy Minsk</v>
      </c>
      <c r="D608" s="59" t="str">
        <f>IFERROR(__xludf.DUMMYFUNCTION("""COMPUTED_VALUE"""),"YouTube")</f>
        <v>YouTube</v>
      </c>
      <c r="E608" s="60" t="str">
        <f>IFERROR(__xludf.DUMMYFUNCTION("""COMPUTED_VALUE"""),"https://www.youtube.com/user/MinskPAS")</f>
        <v>https://www.youtube.com/user/MinskPAS</v>
      </c>
    </row>
    <row r="609">
      <c r="A609" s="59" t="str">
        <f>IFERROR(__xludf.DUMMYFUNCTION("""COMPUTED_VALUE"""),"EUR")</f>
        <v>EUR</v>
      </c>
      <c r="B609" s="59" t="str">
        <f>IFERROR(__xludf.DUMMYFUNCTION("""COMPUTED_VALUE"""),"Belgium")</f>
        <v>Belgium</v>
      </c>
      <c r="C609" s="59" t="str">
        <f>IFERROR(__xludf.DUMMYFUNCTION("""COMPUTED_VALUE"""),"U.S. Ambassador to Belgium")</f>
        <v>U.S. Ambassador to Belgium</v>
      </c>
      <c r="D609" s="59" t="str">
        <f>IFERROR(__xludf.DUMMYFUNCTION("""COMPUTED_VALUE"""),"X")</f>
        <v>X</v>
      </c>
      <c r="E609" s="60" t="str">
        <f>IFERROR(__xludf.DUMMYFUNCTION("""COMPUTED_VALUE"""),"https://x.com/USAmbBelgium")</f>
        <v>https://x.com/USAmbBelgium</v>
      </c>
    </row>
    <row r="610">
      <c r="A610" s="59" t="str">
        <f>IFERROR(__xludf.DUMMYFUNCTION("""COMPUTED_VALUE"""),"EUR")</f>
        <v>EUR</v>
      </c>
      <c r="B610" s="59" t="str">
        <f>IFERROR(__xludf.DUMMYFUNCTION("""COMPUTED_VALUE"""),"Belgium")</f>
        <v>Belgium</v>
      </c>
      <c r="C610" s="59" t="str">
        <f>IFERROR(__xludf.DUMMYFUNCTION("""COMPUTED_VALUE"""),"U.S. Ambassador to the European Union")</f>
        <v>U.S. Ambassador to the European Union</v>
      </c>
      <c r="D610" s="59" t="str">
        <f>IFERROR(__xludf.DUMMYFUNCTION("""COMPUTED_VALUE"""),"X")</f>
        <v>X</v>
      </c>
      <c r="E610" s="60" t="str">
        <f>IFERROR(__xludf.DUMMYFUNCTION("""COMPUTED_VALUE"""),"https://x.com/USAmbEU")</f>
        <v>https://x.com/USAmbEU</v>
      </c>
    </row>
    <row r="611">
      <c r="A611" s="59" t="str">
        <f>IFERROR(__xludf.DUMMYFUNCTION("""COMPUTED_VALUE"""),"EUR")</f>
        <v>EUR</v>
      </c>
      <c r="B611" s="59" t="str">
        <f>IFERROR(__xludf.DUMMYFUNCTION("""COMPUTED_VALUE"""),"Belgium")</f>
        <v>Belgium</v>
      </c>
      <c r="C611" s="59" t="str">
        <f>IFERROR(__xludf.DUMMYFUNCTION("""COMPUTED_VALUE"""),"U.S. Embassy Brussels")</f>
        <v>U.S. Embassy Brussels</v>
      </c>
      <c r="D611" s="59" t="str">
        <f>IFERROR(__xludf.DUMMYFUNCTION("""COMPUTED_VALUE"""),"Facebook")</f>
        <v>Facebook</v>
      </c>
      <c r="E611" s="60" t="str">
        <f>IFERROR(__xludf.DUMMYFUNCTION("""COMPUTED_VALUE"""),"https://www.facebook.com/usembassybelgium/")</f>
        <v>https://www.facebook.com/usembassybelgium/</v>
      </c>
    </row>
    <row r="612">
      <c r="A612" s="59" t="str">
        <f>IFERROR(__xludf.DUMMYFUNCTION("""COMPUTED_VALUE"""),"EUR")</f>
        <v>EUR</v>
      </c>
      <c r="B612" s="59" t="str">
        <f>IFERROR(__xludf.DUMMYFUNCTION("""COMPUTED_VALUE"""),"Belgium")</f>
        <v>Belgium</v>
      </c>
      <c r="C612" s="59" t="str">
        <f>IFERROR(__xludf.DUMMYFUNCTION("""COMPUTED_VALUE"""),"U.S. Embassy Brussels")</f>
        <v>U.S. Embassy Brussels</v>
      </c>
      <c r="D612" s="59" t="str">
        <f>IFERROR(__xludf.DUMMYFUNCTION("""COMPUTED_VALUE"""),"Instagram")</f>
        <v>Instagram</v>
      </c>
      <c r="E612" s="60" t="str">
        <f>IFERROR(__xludf.DUMMYFUNCTION("""COMPUTED_VALUE"""),"https://www.instagram.com/usembassybelgium/")</f>
        <v>https://www.instagram.com/usembassybelgium/</v>
      </c>
    </row>
    <row r="613">
      <c r="A613" s="59" t="str">
        <f>IFERROR(__xludf.DUMMYFUNCTION("""COMPUTED_VALUE"""),"EUR")</f>
        <v>EUR</v>
      </c>
      <c r="B613" s="59" t="str">
        <f>IFERROR(__xludf.DUMMYFUNCTION("""COMPUTED_VALUE"""),"Belgium")</f>
        <v>Belgium</v>
      </c>
      <c r="C613" s="59" t="str">
        <f>IFERROR(__xludf.DUMMYFUNCTION("""COMPUTED_VALUE"""),"U.S. Embassy Brussels")</f>
        <v>U.S. Embassy Brussels</v>
      </c>
      <c r="D613" s="59" t="str">
        <f>IFERROR(__xludf.DUMMYFUNCTION("""COMPUTED_VALUE"""),"X")</f>
        <v>X</v>
      </c>
      <c r="E613" s="60" t="str">
        <f>IFERROR(__xludf.DUMMYFUNCTION("""COMPUTED_VALUE"""),"https://x.com/usembbrussels")</f>
        <v>https://x.com/usembbrussels</v>
      </c>
    </row>
    <row r="614">
      <c r="A614" s="59" t="str">
        <f>IFERROR(__xludf.DUMMYFUNCTION("""COMPUTED_VALUE"""),"EUR")</f>
        <v>EUR</v>
      </c>
      <c r="B614" s="59" t="str">
        <f>IFERROR(__xludf.DUMMYFUNCTION("""COMPUTED_VALUE"""),"Belgium")</f>
        <v>Belgium</v>
      </c>
      <c r="C614" s="59" t="str">
        <f>IFERROR(__xludf.DUMMYFUNCTION("""COMPUTED_VALUE"""),"U.S. Embassy Brussels")</f>
        <v>U.S. Embassy Brussels</v>
      </c>
      <c r="D614" s="59" t="str">
        <f>IFERROR(__xludf.DUMMYFUNCTION("""COMPUTED_VALUE"""),"YouTube")</f>
        <v>YouTube</v>
      </c>
      <c r="E614" s="60" t="str">
        <f>IFERROR(__xludf.DUMMYFUNCTION("""COMPUTED_VALUE"""),"https://www.youtube.com/@usembassybrussels/")</f>
        <v>https://www.youtube.com/@usembassybrussels/</v>
      </c>
    </row>
    <row r="615">
      <c r="A615" s="59" t="str">
        <f>IFERROR(__xludf.DUMMYFUNCTION("""COMPUTED_VALUE"""),"EUR")</f>
        <v>EUR</v>
      </c>
      <c r="B615" s="59" t="str">
        <f>IFERROR(__xludf.DUMMYFUNCTION("""COMPUTED_VALUE"""),"Belgium")</f>
        <v>Belgium</v>
      </c>
      <c r="C615" s="59" t="str">
        <f>IFERROR(__xludf.DUMMYFUNCTION("""COMPUTED_VALUE"""),"U.S. Embassy Brussels")</f>
        <v>U.S. Embassy Brussels</v>
      </c>
      <c r="D615" s="59" t="str">
        <f>IFERROR(__xludf.DUMMYFUNCTION("""COMPUTED_VALUE"""),"LinkedIn")</f>
        <v>LinkedIn</v>
      </c>
      <c r="E615" s="60" t="str">
        <f>IFERROR(__xludf.DUMMYFUNCTION("""COMPUTED_VALUE"""),"https://www.linkedin.com/company/us-embassy-in-belgium/")</f>
        <v>https://www.linkedin.com/company/us-embassy-in-belgium/</v>
      </c>
    </row>
    <row r="616">
      <c r="A616" s="59" t="str">
        <f>IFERROR(__xludf.DUMMYFUNCTION("""COMPUTED_VALUE"""),"EUR")</f>
        <v>EUR</v>
      </c>
      <c r="B616" s="59" t="str">
        <f>IFERROR(__xludf.DUMMYFUNCTION("""COMPUTED_VALUE"""),"Belgium")</f>
        <v>Belgium</v>
      </c>
      <c r="C616" s="59" t="str">
        <f>IFERROR(__xludf.DUMMYFUNCTION("""COMPUTED_VALUE"""),"U.S. Mission to NATO")</f>
        <v>U.S. Mission to NATO</v>
      </c>
      <c r="D616" s="59" t="str">
        <f>IFERROR(__xludf.DUMMYFUNCTION("""COMPUTED_VALUE"""),"Facebook")</f>
        <v>Facebook</v>
      </c>
      <c r="E616" s="60" t="str">
        <f>IFERROR(__xludf.DUMMYFUNCTION("""COMPUTED_VALUE"""),"https://www.facebook.com/USNATO/")</f>
        <v>https://www.facebook.com/USNATO/</v>
      </c>
    </row>
    <row r="617">
      <c r="A617" s="59" t="str">
        <f>IFERROR(__xludf.DUMMYFUNCTION("""COMPUTED_VALUE"""),"EUR")</f>
        <v>EUR</v>
      </c>
      <c r="B617" s="59" t="str">
        <f>IFERROR(__xludf.DUMMYFUNCTION("""COMPUTED_VALUE"""),"Belgium")</f>
        <v>Belgium</v>
      </c>
      <c r="C617" s="59" t="str">
        <f>IFERROR(__xludf.DUMMYFUNCTION("""COMPUTED_VALUE"""),"U.S. Mission to NATO")</f>
        <v>U.S. Mission to NATO</v>
      </c>
      <c r="D617" s="59" t="str">
        <f>IFERROR(__xludf.DUMMYFUNCTION("""COMPUTED_VALUE"""),"Instagram")</f>
        <v>Instagram</v>
      </c>
      <c r="E617" s="60" t="str">
        <f>IFERROR(__xludf.DUMMYFUNCTION("""COMPUTED_VALUE"""),"https://www.instagram.com/usmissionnato")</f>
        <v>https://www.instagram.com/usmissionnato</v>
      </c>
    </row>
    <row r="618">
      <c r="A618" s="59" t="str">
        <f>IFERROR(__xludf.DUMMYFUNCTION("""COMPUTED_VALUE"""),"EUR")</f>
        <v>EUR</v>
      </c>
      <c r="B618" s="59" t="str">
        <f>IFERROR(__xludf.DUMMYFUNCTION("""COMPUTED_VALUE"""),"Belgium")</f>
        <v>Belgium</v>
      </c>
      <c r="C618" s="59" t="str">
        <f>IFERROR(__xludf.DUMMYFUNCTION("""COMPUTED_VALUE"""),"U.S. Mission to NATO")</f>
        <v>U.S. Mission to NATO</v>
      </c>
      <c r="D618" s="59" t="str">
        <f>IFERROR(__xludf.DUMMYFUNCTION("""COMPUTED_VALUE"""),"X")</f>
        <v>X</v>
      </c>
      <c r="E618" s="60" t="str">
        <f>IFERROR(__xludf.DUMMYFUNCTION("""COMPUTED_VALUE"""),"https://x.com/USNATO")</f>
        <v>https://x.com/USNATO</v>
      </c>
    </row>
    <row r="619">
      <c r="A619" s="59" t="str">
        <f>IFERROR(__xludf.DUMMYFUNCTION("""COMPUTED_VALUE"""),"EUR")</f>
        <v>EUR</v>
      </c>
      <c r="B619" s="59" t="str">
        <f>IFERROR(__xludf.DUMMYFUNCTION("""COMPUTED_VALUE"""),"Belgium")</f>
        <v>Belgium</v>
      </c>
      <c r="C619" s="59" t="str">
        <f>IFERROR(__xludf.DUMMYFUNCTION("""COMPUTED_VALUE"""),"U.S. Ambassador to NATO")</f>
        <v>U.S. Ambassador to NATO</v>
      </c>
      <c r="D619" s="59" t="str">
        <f>IFERROR(__xludf.DUMMYFUNCTION("""COMPUTED_VALUE"""),"X")</f>
        <v>X</v>
      </c>
      <c r="E619" s="60" t="str">
        <f>IFERROR(__xludf.DUMMYFUNCTION("""COMPUTED_VALUE"""),"https://x.com/usambnato")</f>
        <v>https://x.com/usambnato</v>
      </c>
    </row>
    <row r="620">
      <c r="A620" s="59" t="str">
        <f>IFERROR(__xludf.DUMMYFUNCTION("""COMPUTED_VALUE"""),"EUR")</f>
        <v>EUR</v>
      </c>
      <c r="B620" s="59" t="str">
        <f>IFERROR(__xludf.DUMMYFUNCTION("""COMPUTED_VALUE"""),"Belgium")</f>
        <v>Belgium</v>
      </c>
      <c r="C620" s="59" t="str">
        <f>IFERROR(__xludf.DUMMYFUNCTION("""COMPUTED_VALUE"""),"U.S. Mission to NATO")</f>
        <v>U.S. Mission to NATO</v>
      </c>
      <c r="D620" s="59" t="str">
        <f>IFERROR(__xludf.DUMMYFUNCTION("""COMPUTED_VALUE"""),"YouTube")</f>
        <v>YouTube</v>
      </c>
      <c r="E620" s="60" t="str">
        <f>IFERROR(__xludf.DUMMYFUNCTION("""COMPUTED_VALUE"""),"https://www.youtube.com/@USNATO")</f>
        <v>https://www.youtube.com/@USNATO</v>
      </c>
    </row>
    <row r="621">
      <c r="A621" s="59" t="str">
        <f>IFERROR(__xludf.DUMMYFUNCTION("""COMPUTED_VALUE"""),"EUR")</f>
        <v>EUR</v>
      </c>
      <c r="B621" s="59" t="str">
        <f>IFERROR(__xludf.DUMMYFUNCTION("""COMPUTED_VALUE"""),"Belgium")</f>
        <v>Belgium</v>
      </c>
      <c r="C621" s="59" t="str">
        <f>IFERROR(__xludf.DUMMYFUNCTION("""COMPUTED_VALUE"""),"U.S. Mission to the EU")</f>
        <v>U.S. Mission to the EU</v>
      </c>
      <c r="D621" s="59" t="str">
        <f>IFERROR(__xludf.DUMMYFUNCTION("""COMPUTED_VALUE"""),"Facebook")</f>
        <v>Facebook</v>
      </c>
      <c r="E621" s="60" t="str">
        <f>IFERROR(__xludf.DUMMYFUNCTION("""COMPUTED_VALUE"""),"https://www.facebook.com/useubrussels/")</f>
        <v>https://www.facebook.com/useubrussels/</v>
      </c>
    </row>
    <row r="622">
      <c r="A622" s="59" t="str">
        <f>IFERROR(__xludf.DUMMYFUNCTION("""COMPUTED_VALUE"""),"EUR")</f>
        <v>EUR</v>
      </c>
      <c r="B622" s="59" t="str">
        <f>IFERROR(__xludf.DUMMYFUNCTION("""COMPUTED_VALUE"""),"Belgium")</f>
        <v>Belgium</v>
      </c>
      <c r="C622" s="59" t="str">
        <f>IFERROR(__xludf.DUMMYFUNCTION("""COMPUTED_VALUE"""),"U.S. Mission to the EU")</f>
        <v>U.S. Mission to the EU</v>
      </c>
      <c r="D622" s="59" t="str">
        <f>IFERROR(__xludf.DUMMYFUNCTION("""COMPUTED_VALUE"""),"Instagram")</f>
        <v>Instagram</v>
      </c>
      <c r="E622" s="60" t="str">
        <f>IFERROR(__xludf.DUMMYFUNCTION("""COMPUTED_VALUE"""),"https://www.instagram.com/useu")</f>
        <v>https://www.instagram.com/useu</v>
      </c>
    </row>
    <row r="623">
      <c r="A623" s="59" t="str">
        <f>IFERROR(__xludf.DUMMYFUNCTION("""COMPUTED_VALUE"""),"EUR")</f>
        <v>EUR</v>
      </c>
      <c r="B623" s="59" t="str">
        <f>IFERROR(__xludf.DUMMYFUNCTION("""COMPUTED_VALUE"""),"Belgium")</f>
        <v>Belgium</v>
      </c>
      <c r="C623" s="59" t="str">
        <f>IFERROR(__xludf.DUMMYFUNCTION("""COMPUTED_VALUE"""),"U.S. Mission to the EU")</f>
        <v>U.S. Mission to the EU</v>
      </c>
      <c r="D623" s="59" t="str">
        <f>IFERROR(__xludf.DUMMYFUNCTION("""COMPUTED_VALUE"""),"X")</f>
        <v>X</v>
      </c>
      <c r="E623" s="60" t="str">
        <f>IFERROR(__xludf.DUMMYFUNCTION("""COMPUTED_VALUE"""),"https://x.com/US2EU")</f>
        <v>https://x.com/US2EU</v>
      </c>
    </row>
    <row r="624">
      <c r="A624" s="59" t="str">
        <f>IFERROR(__xludf.DUMMYFUNCTION("""COMPUTED_VALUE"""),"EUR")</f>
        <v>EUR</v>
      </c>
      <c r="B624" s="59" t="str">
        <f>IFERROR(__xludf.DUMMYFUNCTION("""COMPUTED_VALUE"""),"Belgium")</f>
        <v>Belgium</v>
      </c>
      <c r="C624" s="59" t="str">
        <f>IFERROR(__xludf.DUMMYFUNCTION("""COMPUTED_VALUE"""),"U.S. Mission to the EU")</f>
        <v>U.S. Mission to the EU</v>
      </c>
      <c r="D624" s="59" t="str">
        <f>IFERROR(__xludf.DUMMYFUNCTION("""COMPUTED_VALUE"""),"LinkedIn")</f>
        <v>LinkedIn</v>
      </c>
      <c r="E624" s="60" t="str">
        <f>IFERROR(__xludf.DUMMYFUNCTION("""COMPUTED_VALUE"""),"https://www.linkedin.com/company/us-mission-to-the-european-union/")</f>
        <v>https://www.linkedin.com/company/us-mission-to-the-european-union/</v>
      </c>
    </row>
    <row r="625">
      <c r="A625" s="59" t="str">
        <f>IFERROR(__xludf.DUMMYFUNCTION("""COMPUTED_VALUE"""),"EUR")</f>
        <v>EUR</v>
      </c>
      <c r="B625" s="59" t="str">
        <f>IFERROR(__xludf.DUMMYFUNCTION("""COMPUTED_VALUE"""),"Belgium")</f>
        <v>Belgium</v>
      </c>
      <c r="C625" s="59" t="str">
        <f>IFERROR(__xludf.DUMMYFUNCTION("""COMPUTED_VALUE"""),"U.S. Mission to the EU")</f>
        <v>U.S. Mission to the EU</v>
      </c>
      <c r="D625" s="59" t="str">
        <f>IFERROR(__xludf.DUMMYFUNCTION("""COMPUTED_VALUE"""),"YouTube")</f>
        <v>YouTube</v>
      </c>
      <c r="E625" s="60" t="str">
        <f>IFERROR(__xludf.DUMMYFUNCTION("""COMPUTED_VALUE"""),"youtube.com/user/TheUSEU")</f>
        <v>youtube.com/user/TheUSEU</v>
      </c>
    </row>
    <row r="626">
      <c r="A626" s="59" t="str">
        <f>IFERROR(__xludf.DUMMYFUNCTION("""COMPUTED_VALUE"""),"EUR")</f>
        <v>EUR</v>
      </c>
      <c r="B626" s="59" t="str">
        <f>IFERROR(__xludf.DUMMYFUNCTION("""COMPUTED_VALUE"""),"Bermuda")</f>
        <v>Bermuda</v>
      </c>
      <c r="C626" s="59" t="str">
        <f>IFERROR(__xludf.DUMMYFUNCTION("""COMPUTED_VALUE"""),"U.S. Consulate Hamilton")</f>
        <v>U.S. Consulate Hamilton</v>
      </c>
      <c r="D626" s="59" t="str">
        <f>IFERROR(__xludf.DUMMYFUNCTION("""COMPUTED_VALUE"""),"Facebook")</f>
        <v>Facebook</v>
      </c>
      <c r="E626" s="60" t="str">
        <f>IFERROR(__xludf.DUMMYFUNCTION("""COMPUTED_VALUE"""),"facebook.com/USConsulateHamilton")</f>
        <v>facebook.com/USConsulateHamilton</v>
      </c>
    </row>
    <row r="627">
      <c r="A627" s="59" t="str">
        <f>IFERROR(__xludf.DUMMYFUNCTION("""COMPUTED_VALUE"""),"EUR")</f>
        <v>EUR</v>
      </c>
      <c r="B627" s="59" t="str">
        <f>IFERROR(__xludf.DUMMYFUNCTION("""COMPUTED_VALUE"""),"Bermuda")</f>
        <v>Bermuda</v>
      </c>
      <c r="C627" s="59" t="str">
        <f>IFERROR(__xludf.DUMMYFUNCTION("""COMPUTED_VALUE"""),"U.S. Consulate Hamilton")</f>
        <v>U.S. Consulate Hamilton</v>
      </c>
      <c r="D627" s="59" t="str">
        <f>IFERROR(__xludf.DUMMYFUNCTION("""COMPUTED_VALUE"""),"Instagram")</f>
        <v>Instagram</v>
      </c>
      <c r="E627" s="60" t="str">
        <f>IFERROR(__xludf.DUMMYFUNCTION("""COMPUTED_VALUE"""),"https://www.instagram.com/usconsulatehamilton/")</f>
        <v>https://www.instagram.com/usconsulatehamilton/</v>
      </c>
    </row>
    <row r="628">
      <c r="A628" s="59" t="str">
        <f>IFERROR(__xludf.DUMMYFUNCTION("""COMPUTED_VALUE"""),"EUR")</f>
        <v>EUR</v>
      </c>
      <c r="B628" s="59" t="str">
        <f>IFERROR(__xludf.DUMMYFUNCTION("""COMPUTED_VALUE"""),"Bermuda")</f>
        <v>Bermuda</v>
      </c>
      <c r="C628" s="59" t="str">
        <f>IFERROR(__xludf.DUMMYFUNCTION("""COMPUTED_VALUE"""),"U.S. Consulate Bermuda")</f>
        <v>U.S. Consulate Bermuda</v>
      </c>
      <c r="D628" s="59" t="str">
        <f>IFERROR(__xludf.DUMMYFUNCTION("""COMPUTED_VALUE"""),"X")</f>
        <v>X</v>
      </c>
      <c r="E628" s="60" t="str">
        <f>IFERROR(__xludf.DUMMYFUNCTION("""COMPUTED_VALUE"""),"https://x.com/USConsHamilton")</f>
        <v>https://x.com/USConsHamilton</v>
      </c>
    </row>
    <row r="629">
      <c r="A629" s="59" t="str">
        <f>IFERROR(__xludf.DUMMYFUNCTION("""COMPUTED_VALUE"""),"EUR")</f>
        <v>EUR</v>
      </c>
      <c r="B629" s="59" t="str">
        <f>IFERROR(__xludf.DUMMYFUNCTION("""COMPUTED_VALUE"""),"Bermuda")</f>
        <v>Bermuda</v>
      </c>
      <c r="C629" s="59" t="str">
        <f>IFERROR(__xludf.DUMMYFUNCTION("""COMPUTED_VALUE"""),"U.S. Consulate Bermuda")</f>
        <v>U.S. Consulate Bermuda</v>
      </c>
      <c r="D629" s="59" t="str">
        <f>IFERROR(__xludf.DUMMYFUNCTION("""COMPUTED_VALUE"""),"LinkedIn")</f>
        <v>LinkedIn</v>
      </c>
      <c r="E629" s="60" t="str">
        <f>IFERROR(__xludf.DUMMYFUNCTION("""COMPUTED_VALUE"""),"https://www.linkedin.com/company/u-s-consulate-general-hamilton-bermuda/")</f>
        <v>https://www.linkedin.com/company/u-s-consulate-general-hamilton-bermuda/</v>
      </c>
    </row>
    <row r="630">
      <c r="A630" s="59" t="str">
        <f>IFERROR(__xludf.DUMMYFUNCTION("""COMPUTED_VALUE"""),"EUR")</f>
        <v>EUR</v>
      </c>
      <c r="B630" s="59" t="str">
        <f>IFERROR(__xludf.DUMMYFUNCTION("""COMPUTED_VALUE"""),"Bosnia and Herzegovina")</f>
        <v>Bosnia and Herzegovina</v>
      </c>
      <c r="C630" s="59" t="str">
        <f>IFERROR(__xludf.DUMMYFUNCTION("""COMPUTED_VALUE"""),"U.S. Embassy Sarajevo")</f>
        <v>U.S. Embassy Sarajevo</v>
      </c>
      <c r="D630" s="59" t="str">
        <f>IFERROR(__xludf.DUMMYFUNCTION("""COMPUTED_VALUE"""),"Facebook")</f>
        <v>Facebook</v>
      </c>
      <c r="E630" s="60" t="str">
        <f>IFERROR(__xludf.DUMMYFUNCTION("""COMPUTED_VALUE"""),"https://www.facebook.com/usembassy.bih/")</f>
        <v>https://www.facebook.com/usembassy.bih/</v>
      </c>
    </row>
    <row r="631">
      <c r="A631" s="59" t="str">
        <f>IFERROR(__xludf.DUMMYFUNCTION("""COMPUTED_VALUE"""),"EUR")</f>
        <v>EUR</v>
      </c>
      <c r="B631" s="59" t="str">
        <f>IFERROR(__xludf.DUMMYFUNCTION("""COMPUTED_VALUE"""),"Bosnia and Herzegovina")</f>
        <v>Bosnia and Herzegovina</v>
      </c>
      <c r="C631" s="59" t="str">
        <f>IFERROR(__xludf.DUMMYFUNCTION("""COMPUTED_VALUE"""),"U.S. Embassy Sarajevo")</f>
        <v>U.S. Embassy Sarajevo</v>
      </c>
      <c r="D631" s="59" t="str">
        <f>IFERROR(__xludf.DUMMYFUNCTION("""COMPUTED_VALUE"""),"Instagram")</f>
        <v>Instagram</v>
      </c>
      <c r="E631" s="60" t="str">
        <f>IFERROR(__xludf.DUMMYFUNCTION("""COMPUTED_VALUE"""),"https://www.instagram.com/usembassybih/")</f>
        <v>https://www.instagram.com/usembassybih/</v>
      </c>
    </row>
    <row r="632">
      <c r="A632" s="59" t="str">
        <f>IFERROR(__xludf.DUMMYFUNCTION("""COMPUTED_VALUE"""),"EUR")</f>
        <v>EUR</v>
      </c>
      <c r="B632" s="59" t="str">
        <f>IFERROR(__xludf.DUMMYFUNCTION("""COMPUTED_VALUE"""),"Bosnia and Herzegovina")</f>
        <v>Bosnia and Herzegovina</v>
      </c>
      <c r="C632" s="59" t="str">
        <f>IFERROR(__xludf.DUMMYFUNCTION("""COMPUTED_VALUE"""),"U.S. Embassy Sarajevo")</f>
        <v>U.S. Embassy Sarajevo</v>
      </c>
      <c r="D632" s="59" t="str">
        <f>IFERROR(__xludf.DUMMYFUNCTION("""COMPUTED_VALUE"""),"LinkedIn")</f>
        <v>LinkedIn</v>
      </c>
      <c r="E632" s="60" t="str">
        <f>IFERROR(__xludf.DUMMYFUNCTION("""COMPUTED_VALUE"""),"https://www.linkedin.com/in/usambbih/")</f>
        <v>https://www.linkedin.com/in/usambbih/</v>
      </c>
    </row>
    <row r="633">
      <c r="A633" s="59" t="str">
        <f>IFERROR(__xludf.DUMMYFUNCTION("""COMPUTED_VALUE"""),"EUR")</f>
        <v>EUR</v>
      </c>
      <c r="B633" s="59" t="str">
        <f>IFERROR(__xludf.DUMMYFUNCTION("""COMPUTED_VALUE"""),"Bosnia and Herzegovina")</f>
        <v>Bosnia and Herzegovina</v>
      </c>
      <c r="C633" s="59" t="str">
        <f>IFERROR(__xludf.DUMMYFUNCTION("""COMPUTED_VALUE"""),"U.S. Embassy Sarajevo")</f>
        <v>U.S. Embassy Sarajevo</v>
      </c>
      <c r="D633" s="59" t="str">
        <f>IFERROR(__xludf.DUMMYFUNCTION("""COMPUTED_VALUE"""),"X")</f>
        <v>X</v>
      </c>
      <c r="E633" s="60" t="str">
        <f>IFERROR(__xludf.DUMMYFUNCTION("""COMPUTED_VALUE"""),"https://x.com/USEmbassySJJ")</f>
        <v>https://x.com/USEmbassySJJ</v>
      </c>
    </row>
    <row r="634">
      <c r="A634" s="59" t="str">
        <f>IFERROR(__xludf.DUMMYFUNCTION("""COMPUTED_VALUE"""),"EUR")</f>
        <v>EUR</v>
      </c>
      <c r="B634" s="59" t="str">
        <f>IFERROR(__xludf.DUMMYFUNCTION("""COMPUTED_VALUE"""),"Bosnia and Herzegovina")</f>
        <v>Bosnia and Herzegovina</v>
      </c>
      <c r="C634" s="59" t="str">
        <f>IFERROR(__xludf.DUMMYFUNCTION("""COMPUTED_VALUE"""),"U.S. Embassy Sarajevo")</f>
        <v>U.S. Embassy Sarajevo</v>
      </c>
      <c r="D634" s="59" t="str">
        <f>IFERROR(__xludf.DUMMYFUNCTION("""COMPUTED_VALUE"""),"YouTube")</f>
        <v>YouTube</v>
      </c>
      <c r="E634" s="60" t="str">
        <f>IFERROR(__xludf.DUMMYFUNCTION("""COMPUTED_VALUE"""),"https://www.youtube.com/user/usembassysarajevo")</f>
        <v>https://www.youtube.com/user/usembassysarajevo</v>
      </c>
    </row>
    <row r="635">
      <c r="A635" s="59" t="str">
        <f>IFERROR(__xludf.DUMMYFUNCTION("""COMPUTED_VALUE"""),"EUR")</f>
        <v>EUR</v>
      </c>
      <c r="B635" s="59" t="str">
        <f>IFERROR(__xludf.DUMMYFUNCTION("""COMPUTED_VALUE"""),"Bulgaria")</f>
        <v>Bulgaria</v>
      </c>
      <c r="C635" s="59" t="str">
        <f>IFERROR(__xludf.DUMMYFUNCTION("""COMPUTED_VALUE"""),"U.S. Embassy Sofia")</f>
        <v>U.S. Embassy Sofia</v>
      </c>
      <c r="D635" s="59" t="str">
        <f>IFERROR(__xludf.DUMMYFUNCTION("""COMPUTED_VALUE"""),"Facebook")</f>
        <v>Facebook</v>
      </c>
      <c r="E635" s="60" t="str">
        <f>IFERROR(__xludf.DUMMYFUNCTION("""COMPUTED_VALUE"""),"https://www.facebook.com/USEmbassySofia/")</f>
        <v>https://www.facebook.com/USEmbassySofia/</v>
      </c>
    </row>
    <row r="636">
      <c r="A636" s="59" t="str">
        <f>IFERROR(__xludf.DUMMYFUNCTION("""COMPUTED_VALUE"""),"EUR")</f>
        <v>EUR</v>
      </c>
      <c r="B636" s="59" t="str">
        <f>IFERROR(__xludf.DUMMYFUNCTION("""COMPUTED_VALUE"""),"Bulgaria")</f>
        <v>Bulgaria</v>
      </c>
      <c r="C636" s="59" t="str">
        <f>IFERROR(__xludf.DUMMYFUNCTION("""COMPUTED_VALUE"""),"U.S. Embassy Sofia")</f>
        <v>U.S. Embassy Sofia</v>
      </c>
      <c r="D636" s="59" t="str">
        <f>IFERROR(__xludf.DUMMYFUNCTION("""COMPUTED_VALUE"""),"Instagram")</f>
        <v>Instagram</v>
      </c>
      <c r="E636" s="60" t="str">
        <f>IFERROR(__xludf.DUMMYFUNCTION("""COMPUTED_VALUE"""),"https://www.instagram.com/usembsofia/")</f>
        <v>https://www.instagram.com/usembsofia/</v>
      </c>
    </row>
    <row r="637">
      <c r="A637" s="59" t="str">
        <f>IFERROR(__xludf.DUMMYFUNCTION("""COMPUTED_VALUE"""),"EUR")</f>
        <v>EUR</v>
      </c>
      <c r="B637" s="59" t="str">
        <f>IFERROR(__xludf.DUMMYFUNCTION("""COMPUTED_VALUE"""),"Bulgaria")</f>
        <v>Bulgaria</v>
      </c>
      <c r="C637" s="59" t="str">
        <f>IFERROR(__xludf.DUMMYFUNCTION("""COMPUTED_VALUE"""),"U.S. Embassy Sofia")</f>
        <v>U.S. Embassy Sofia</v>
      </c>
      <c r="D637" s="59" t="str">
        <f>IFERROR(__xludf.DUMMYFUNCTION("""COMPUTED_VALUE"""),"X")</f>
        <v>X</v>
      </c>
      <c r="E637" s="60" t="str">
        <f>IFERROR(__xludf.DUMMYFUNCTION("""COMPUTED_VALUE"""),"https://x.com/USEmbassySofia")</f>
        <v>https://x.com/USEmbassySofia</v>
      </c>
    </row>
    <row r="638">
      <c r="A638" s="59" t="str">
        <f>IFERROR(__xludf.DUMMYFUNCTION("""COMPUTED_VALUE"""),"EUR")</f>
        <v>EUR</v>
      </c>
      <c r="B638" s="59" t="str">
        <f>IFERROR(__xludf.DUMMYFUNCTION("""COMPUTED_VALUE"""),"Bulgaria")</f>
        <v>Bulgaria</v>
      </c>
      <c r="C638" s="59" t="str">
        <f>IFERROR(__xludf.DUMMYFUNCTION("""COMPUTED_VALUE"""),"U.S. Embassy Sofia")</f>
        <v>U.S. Embassy Sofia</v>
      </c>
      <c r="D638" s="59" t="str">
        <f>IFERROR(__xludf.DUMMYFUNCTION("""COMPUTED_VALUE"""),"YouTube")</f>
        <v>YouTube</v>
      </c>
      <c r="E638" s="60" t="str">
        <f>IFERROR(__xludf.DUMMYFUNCTION("""COMPUTED_VALUE"""),"youtube.com/user/SofiaPAO")</f>
        <v>youtube.com/user/SofiaPAO</v>
      </c>
    </row>
    <row r="639">
      <c r="A639" s="59" t="str">
        <f>IFERROR(__xludf.DUMMYFUNCTION("""COMPUTED_VALUE"""),"EUR")</f>
        <v>EUR</v>
      </c>
      <c r="B639" s="59" t="str">
        <f>IFERROR(__xludf.DUMMYFUNCTION("""COMPUTED_VALUE"""),"Bulgaria")</f>
        <v>Bulgaria</v>
      </c>
      <c r="C639" s="59" t="str">
        <f>IFERROR(__xludf.DUMMYFUNCTION("""COMPUTED_VALUE"""),"U.S. Embassy Sofia")</f>
        <v>U.S. Embassy Sofia</v>
      </c>
      <c r="D639" s="59" t="str">
        <f>IFERROR(__xludf.DUMMYFUNCTION("""COMPUTED_VALUE"""),"LinkedIn")</f>
        <v>LinkedIn</v>
      </c>
      <c r="E639" s="60" t="str">
        <f>IFERROR(__xludf.DUMMYFUNCTION("""COMPUTED_VALUE"""),"https://www.linkedin.com/company/us-embassy-in-bulgaria/")</f>
        <v>https://www.linkedin.com/company/us-embassy-in-bulgaria/</v>
      </c>
    </row>
    <row r="640">
      <c r="A640" s="59" t="str">
        <f>IFERROR(__xludf.DUMMYFUNCTION("""COMPUTED_VALUE"""),"EUR")</f>
        <v>EUR</v>
      </c>
      <c r="B640" s="59" t="str">
        <f>IFERROR(__xludf.DUMMYFUNCTION("""COMPUTED_VALUE"""),"Croatia")</f>
        <v>Croatia</v>
      </c>
      <c r="C640" s="59" t="str">
        <f>IFERROR(__xludf.DUMMYFUNCTION("""COMPUTED_VALUE"""),"U.S. Ambassador to Croatia")</f>
        <v>U.S. Ambassador to Croatia</v>
      </c>
      <c r="D640" s="59" t="str">
        <f>IFERROR(__xludf.DUMMYFUNCTION("""COMPUTED_VALUE"""),"X")</f>
        <v>X</v>
      </c>
      <c r="E640" s="60" t="str">
        <f>IFERROR(__xludf.DUMMYFUNCTION("""COMPUTED_VALUE"""),"https://x.com/USAmbCroatia")</f>
        <v>https://x.com/USAmbCroatia</v>
      </c>
    </row>
    <row r="641">
      <c r="A641" s="59" t="str">
        <f>IFERROR(__xludf.DUMMYFUNCTION("""COMPUTED_VALUE"""),"EUR")</f>
        <v>EUR</v>
      </c>
      <c r="B641" s="59" t="str">
        <f>IFERROR(__xludf.DUMMYFUNCTION("""COMPUTED_VALUE"""),"Croatia")</f>
        <v>Croatia</v>
      </c>
      <c r="C641" s="59" t="str">
        <f>IFERROR(__xludf.DUMMYFUNCTION("""COMPUTED_VALUE"""),"U.S. Embassy Zagreb")</f>
        <v>U.S. Embassy Zagreb</v>
      </c>
      <c r="D641" s="59" t="str">
        <f>IFERROR(__xludf.DUMMYFUNCTION("""COMPUTED_VALUE"""),"Facebook")</f>
        <v>Facebook</v>
      </c>
      <c r="E641" s="60" t="str">
        <f>IFERROR(__xludf.DUMMYFUNCTION("""COMPUTED_VALUE"""),"https://www.facebook.com/usembassycroatia/")</f>
        <v>https://www.facebook.com/usembassycroatia/</v>
      </c>
    </row>
    <row r="642">
      <c r="A642" s="59" t="str">
        <f>IFERROR(__xludf.DUMMYFUNCTION("""COMPUTED_VALUE"""),"EUR")</f>
        <v>EUR</v>
      </c>
      <c r="B642" s="59" t="str">
        <f>IFERROR(__xludf.DUMMYFUNCTION("""COMPUTED_VALUE"""),"Croatia")</f>
        <v>Croatia</v>
      </c>
      <c r="C642" s="59" t="str">
        <f>IFERROR(__xludf.DUMMYFUNCTION("""COMPUTED_VALUE"""),"U.S. Embassy Zagreb")</f>
        <v>U.S. Embassy Zagreb</v>
      </c>
      <c r="D642" s="59" t="str">
        <f>IFERROR(__xludf.DUMMYFUNCTION("""COMPUTED_VALUE"""),"Instagram")</f>
        <v>Instagram</v>
      </c>
      <c r="E642" s="60" t="str">
        <f>IFERROR(__xludf.DUMMYFUNCTION("""COMPUTED_VALUE"""),"https://www.instagram.com/usembassycroatia/")</f>
        <v>https://www.instagram.com/usembassycroatia/</v>
      </c>
    </row>
    <row r="643">
      <c r="A643" s="59" t="str">
        <f>IFERROR(__xludf.DUMMYFUNCTION("""COMPUTED_VALUE"""),"EUR")</f>
        <v>EUR</v>
      </c>
      <c r="B643" s="59" t="str">
        <f>IFERROR(__xludf.DUMMYFUNCTION("""COMPUTED_VALUE"""),"Croatia")</f>
        <v>Croatia</v>
      </c>
      <c r="C643" s="59" t="str">
        <f>IFERROR(__xludf.DUMMYFUNCTION("""COMPUTED_VALUE"""),"U.S. Embassy Zagreb")</f>
        <v>U.S. Embassy Zagreb</v>
      </c>
      <c r="D643" s="59" t="str">
        <f>IFERROR(__xludf.DUMMYFUNCTION("""COMPUTED_VALUE"""),"X")</f>
        <v>X</v>
      </c>
      <c r="E643" s="60" t="str">
        <f>IFERROR(__xludf.DUMMYFUNCTION("""COMPUTED_VALUE"""),"https://x.com/USEmbZagreb")</f>
        <v>https://x.com/USEmbZagreb</v>
      </c>
    </row>
    <row r="644">
      <c r="A644" s="59" t="str">
        <f>IFERROR(__xludf.DUMMYFUNCTION("""COMPUTED_VALUE"""),"EUR")</f>
        <v>EUR</v>
      </c>
      <c r="B644" s="59" t="str">
        <f>IFERROR(__xludf.DUMMYFUNCTION("""COMPUTED_VALUE"""),"Croatia")</f>
        <v>Croatia</v>
      </c>
      <c r="C644" s="59" t="str">
        <f>IFERROR(__xludf.DUMMYFUNCTION("""COMPUTED_VALUE"""),"U.S. Embassy Zagreb")</f>
        <v>U.S. Embassy Zagreb</v>
      </c>
      <c r="D644" s="59" t="str">
        <f>IFERROR(__xludf.DUMMYFUNCTION("""COMPUTED_VALUE"""),"YouTube")</f>
        <v>YouTube</v>
      </c>
      <c r="E644" s="60" t="str">
        <f>IFERROR(__xludf.DUMMYFUNCTION("""COMPUTED_VALUE"""),"https://www.youtube.com/user/usembassyzagreb")</f>
        <v>https://www.youtube.com/user/usembassyzagreb</v>
      </c>
    </row>
    <row r="645">
      <c r="A645" s="59" t="str">
        <f>IFERROR(__xludf.DUMMYFUNCTION("""COMPUTED_VALUE"""),"EUR")</f>
        <v>EUR</v>
      </c>
      <c r="B645" s="59" t="str">
        <f>IFERROR(__xludf.DUMMYFUNCTION("""COMPUTED_VALUE"""),"Cyprus")</f>
        <v>Cyprus</v>
      </c>
      <c r="C645" s="59" t="str">
        <f>IFERROR(__xludf.DUMMYFUNCTION("""COMPUTED_VALUE"""),"U.S. Ambassador to Cyprus")</f>
        <v>U.S. Ambassador to Cyprus</v>
      </c>
      <c r="D645" s="59" t="str">
        <f>IFERROR(__xludf.DUMMYFUNCTION("""COMPUTED_VALUE"""),"X")</f>
        <v>X</v>
      </c>
      <c r="E645" s="60" t="str">
        <f>IFERROR(__xludf.DUMMYFUNCTION("""COMPUTED_VALUE"""),"https://x.com/USAmbcy")</f>
        <v>https://x.com/USAmbcy</v>
      </c>
    </row>
    <row r="646">
      <c r="A646" s="59" t="str">
        <f>IFERROR(__xludf.DUMMYFUNCTION("""COMPUTED_VALUE"""),"EUR")</f>
        <v>EUR</v>
      </c>
      <c r="B646" s="59" t="str">
        <f>IFERROR(__xludf.DUMMYFUNCTION("""COMPUTED_VALUE"""),"Cyprus")</f>
        <v>Cyprus</v>
      </c>
      <c r="C646" s="59" t="str">
        <f>IFERROR(__xludf.DUMMYFUNCTION("""COMPUTED_VALUE"""),"U.S. Embassy Nicosia")</f>
        <v>U.S. Embassy Nicosia</v>
      </c>
      <c r="D646" s="59" t="str">
        <f>IFERROR(__xludf.DUMMYFUNCTION("""COMPUTED_VALUE"""),"Facebook")</f>
        <v>Facebook</v>
      </c>
      <c r="E646" s="60" t="str">
        <f>IFERROR(__xludf.DUMMYFUNCTION("""COMPUTED_VALUE"""),"https://www.facebook.com/USEmbassyCyprus/")</f>
        <v>https://www.facebook.com/USEmbassyCyprus/</v>
      </c>
    </row>
    <row r="647">
      <c r="A647" s="59" t="str">
        <f>IFERROR(__xludf.DUMMYFUNCTION("""COMPUTED_VALUE"""),"EUR")</f>
        <v>EUR</v>
      </c>
      <c r="B647" s="59" t="str">
        <f>IFERROR(__xludf.DUMMYFUNCTION("""COMPUTED_VALUE"""),"Cyprus")</f>
        <v>Cyprus</v>
      </c>
      <c r="C647" s="59" t="str">
        <f>IFERROR(__xludf.DUMMYFUNCTION("""COMPUTED_VALUE"""),"U.S. Embassy Nicosia")</f>
        <v>U.S. Embassy Nicosia</v>
      </c>
      <c r="D647" s="59" t="str">
        <f>IFERROR(__xludf.DUMMYFUNCTION("""COMPUTED_VALUE"""),"Instagram")</f>
        <v>Instagram</v>
      </c>
      <c r="E647" s="60" t="str">
        <f>IFERROR(__xludf.DUMMYFUNCTION("""COMPUTED_VALUE"""),"https://www.instagram.com/usembassycyprus/")</f>
        <v>https://www.instagram.com/usembassycyprus/</v>
      </c>
    </row>
    <row r="648">
      <c r="A648" s="59" t="str">
        <f>IFERROR(__xludf.DUMMYFUNCTION("""COMPUTED_VALUE"""),"EUR")</f>
        <v>EUR</v>
      </c>
      <c r="B648" s="59" t="str">
        <f>IFERROR(__xludf.DUMMYFUNCTION("""COMPUTED_VALUE"""),"Cyprus")</f>
        <v>Cyprus</v>
      </c>
      <c r="C648" s="59" t="str">
        <f>IFERROR(__xludf.DUMMYFUNCTION("""COMPUTED_VALUE"""),"U.S. Embassy Nicosia")</f>
        <v>U.S. Embassy Nicosia</v>
      </c>
      <c r="D648" s="59" t="str">
        <f>IFERROR(__xludf.DUMMYFUNCTION("""COMPUTED_VALUE"""),"X")</f>
        <v>X</v>
      </c>
      <c r="E648" s="60" t="str">
        <f>IFERROR(__xludf.DUMMYFUNCTION("""COMPUTED_VALUE"""),"https://x.com/USEmbassyCyprus")</f>
        <v>https://x.com/USEmbassyCyprus</v>
      </c>
    </row>
    <row r="649">
      <c r="A649" s="59" t="str">
        <f>IFERROR(__xludf.DUMMYFUNCTION("""COMPUTED_VALUE"""),"EUR")</f>
        <v>EUR</v>
      </c>
      <c r="B649" s="59" t="str">
        <f>IFERROR(__xludf.DUMMYFUNCTION("""COMPUTED_VALUE"""),"Cyprus")</f>
        <v>Cyprus</v>
      </c>
      <c r="C649" s="59" t="str">
        <f>IFERROR(__xludf.DUMMYFUNCTION("""COMPUTED_VALUE"""),"U.S. Embassy Nicosia")</f>
        <v>U.S. Embassy Nicosia</v>
      </c>
      <c r="D649" s="59" t="str">
        <f>IFERROR(__xludf.DUMMYFUNCTION("""COMPUTED_VALUE"""),"YouTube")</f>
        <v>YouTube</v>
      </c>
      <c r="E649" s="60" t="str">
        <f>IFERROR(__xludf.DUMMYFUNCTION("""COMPUTED_VALUE"""),"youtube.com/user/nicosiairc")</f>
        <v>youtube.com/user/nicosiairc</v>
      </c>
    </row>
    <row r="650">
      <c r="A650" s="59" t="str">
        <f>IFERROR(__xludf.DUMMYFUNCTION("""COMPUTED_VALUE"""),"EUR")</f>
        <v>EUR</v>
      </c>
      <c r="B650" s="59" t="str">
        <f>IFERROR(__xludf.DUMMYFUNCTION("""COMPUTED_VALUE"""),"Czech Republic")</f>
        <v>Czech Republic</v>
      </c>
      <c r="C650" s="59" t="str">
        <f>IFERROR(__xludf.DUMMYFUNCTION("""COMPUTED_VALUE"""),"U.S. Embassy Prague")</f>
        <v>U.S. Embassy Prague</v>
      </c>
      <c r="D650" s="59" t="str">
        <f>IFERROR(__xludf.DUMMYFUNCTION("""COMPUTED_VALUE"""),"Facebook")</f>
        <v>Facebook</v>
      </c>
      <c r="E650" s="60" t="str">
        <f>IFERROR(__xludf.DUMMYFUNCTION("""COMPUTED_VALUE"""),"https://www.facebook.com/USEmbassyPrague/")</f>
        <v>https://www.facebook.com/USEmbassyPrague/</v>
      </c>
    </row>
    <row r="651">
      <c r="A651" s="59" t="str">
        <f>IFERROR(__xludf.DUMMYFUNCTION("""COMPUTED_VALUE"""),"EUR")</f>
        <v>EUR</v>
      </c>
      <c r="B651" s="59" t="str">
        <f>IFERROR(__xludf.DUMMYFUNCTION("""COMPUTED_VALUE"""),"Czech Republic")</f>
        <v>Czech Republic</v>
      </c>
      <c r="C651" s="59" t="str">
        <f>IFERROR(__xludf.DUMMYFUNCTION("""COMPUTED_VALUE"""),"U.S. Embassy Prague")</f>
        <v>U.S. Embassy Prague</v>
      </c>
      <c r="D651" s="59" t="str">
        <f>IFERROR(__xludf.DUMMYFUNCTION("""COMPUTED_VALUE"""),"Instagram")</f>
        <v>Instagram</v>
      </c>
      <c r="E651" s="60" t="str">
        <f>IFERROR(__xludf.DUMMYFUNCTION("""COMPUTED_VALUE"""),"https://www.instagram.com/usembassyprague")</f>
        <v>https://www.instagram.com/usembassyprague</v>
      </c>
    </row>
    <row r="652">
      <c r="A652" s="59" t="str">
        <f>IFERROR(__xludf.DUMMYFUNCTION("""COMPUTED_VALUE"""),"EUR")</f>
        <v>EUR</v>
      </c>
      <c r="B652" s="59" t="str">
        <f>IFERROR(__xludf.DUMMYFUNCTION("""COMPUTED_VALUE"""),"Czech Republic")</f>
        <v>Czech Republic</v>
      </c>
      <c r="C652" s="59" t="str">
        <f>IFERROR(__xludf.DUMMYFUNCTION("""COMPUTED_VALUE"""),"U.S. Embassy Prague")</f>
        <v>U.S. Embassy Prague</v>
      </c>
      <c r="D652" s="59" t="str">
        <f>IFERROR(__xludf.DUMMYFUNCTION("""COMPUTED_VALUE"""),"X")</f>
        <v>X</v>
      </c>
      <c r="E652" s="60" t="str">
        <f>IFERROR(__xludf.DUMMYFUNCTION("""COMPUTED_VALUE"""),"https://x.com/USEmbassyPrague")</f>
        <v>https://x.com/USEmbassyPrague</v>
      </c>
    </row>
    <row r="653">
      <c r="A653" s="59" t="str">
        <f>IFERROR(__xludf.DUMMYFUNCTION("""COMPUTED_VALUE"""),"EUR")</f>
        <v>EUR</v>
      </c>
      <c r="B653" s="59" t="str">
        <f>IFERROR(__xludf.DUMMYFUNCTION("""COMPUTED_VALUE"""),"Czech Republic")</f>
        <v>Czech Republic</v>
      </c>
      <c r="C653" s="59" t="str">
        <f>IFERROR(__xludf.DUMMYFUNCTION("""COMPUTED_VALUE"""),"U.S. Embassy Prague")</f>
        <v>U.S. Embassy Prague</v>
      </c>
      <c r="D653" s="59" t="str">
        <f>IFERROR(__xludf.DUMMYFUNCTION("""COMPUTED_VALUE"""),"YouTube")</f>
        <v>YouTube</v>
      </c>
      <c r="E653" s="60" t="str">
        <f>IFERROR(__xludf.DUMMYFUNCTION("""COMPUTED_VALUE"""),"youtube.com/user/USEmbassyPrague")</f>
        <v>youtube.com/user/USEmbassyPrague</v>
      </c>
    </row>
    <row r="654">
      <c r="A654" s="59" t="str">
        <f>IFERROR(__xludf.DUMMYFUNCTION("""COMPUTED_VALUE"""),"EUR")</f>
        <v>EUR</v>
      </c>
      <c r="B654" s="59" t="str">
        <f>IFERROR(__xludf.DUMMYFUNCTION("""COMPUTED_VALUE"""),"Denmark")</f>
        <v>Denmark</v>
      </c>
      <c r="C654" s="59" t="str">
        <f>IFERROR(__xludf.DUMMYFUNCTION("""COMPUTED_VALUE"""),"U.S. Ambassador to Denmark")</f>
        <v>U.S. Ambassador to Denmark</v>
      </c>
      <c r="D654" s="59" t="str">
        <f>IFERROR(__xludf.DUMMYFUNCTION("""COMPUTED_VALUE"""),"Instagram")</f>
        <v>Instagram</v>
      </c>
      <c r="E654" s="60" t="str">
        <f>IFERROR(__xludf.DUMMYFUNCTION("""COMPUTED_VALUE"""),"https://www.instagram.com/usambdenmark/")</f>
        <v>https://www.instagram.com/usambdenmark/</v>
      </c>
    </row>
    <row r="655">
      <c r="A655" s="59" t="str">
        <f>IFERROR(__xludf.DUMMYFUNCTION("""COMPUTED_VALUE"""),"EUR")</f>
        <v>EUR</v>
      </c>
      <c r="B655" s="59" t="str">
        <f>IFERROR(__xludf.DUMMYFUNCTION("""COMPUTED_VALUE"""),"Denmark")</f>
        <v>Denmark</v>
      </c>
      <c r="C655" s="59" t="str">
        <f>IFERROR(__xludf.DUMMYFUNCTION("""COMPUTED_VALUE"""),"U.S. Ambassador to Denmark")</f>
        <v>U.S. Ambassador to Denmark</v>
      </c>
      <c r="D655" s="59" t="str">
        <f>IFERROR(__xludf.DUMMYFUNCTION("""COMPUTED_VALUE"""),"X")</f>
        <v>X</v>
      </c>
      <c r="E655" s="60" t="str">
        <f>IFERROR(__xludf.DUMMYFUNCTION("""COMPUTED_VALUE"""),"https://x.com/usambdenmark")</f>
        <v>https://x.com/usambdenmark</v>
      </c>
    </row>
    <row r="656">
      <c r="A656" s="59" t="str">
        <f>IFERROR(__xludf.DUMMYFUNCTION("""COMPUTED_VALUE"""),"EUR")</f>
        <v>EUR</v>
      </c>
      <c r="B656" s="59" t="str">
        <f>IFERROR(__xludf.DUMMYFUNCTION("""COMPUTED_VALUE"""),"Denmark")</f>
        <v>Denmark</v>
      </c>
      <c r="C656" s="59" t="str">
        <f>IFERROR(__xludf.DUMMYFUNCTION("""COMPUTED_VALUE"""),"U.S. Embassy Copenhagen")</f>
        <v>U.S. Embassy Copenhagen</v>
      </c>
      <c r="D656" s="59" t="str">
        <f>IFERROR(__xludf.DUMMYFUNCTION("""COMPUTED_VALUE"""),"Facebook")</f>
        <v>Facebook</v>
      </c>
      <c r="E656" s="60" t="str">
        <f>IFERROR(__xludf.DUMMYFUNCTION("""COMPUTED_VALUE"""),"https://www.facebook.com/denmark.usembassy/")</f>
        <v>https://www.facebook.com/denmark.usembassy/</v>
      </c>
    </row>
    <row r="657">
      <c r="A657" s="59" t="str">
        <f>IFERROR(__xludf.DUMMYFUNCTION("""COMPUTED_VALUE"""),"EUR")</f>
        <v>EUR</v>
      </c>
      <c r="B657" s="59" t="str">
        <f>IFERROR(__xludf.DUMMYFUNCTION("""COMPUTED_VALUE"""),"Denmark")</f>
        <v>Denmark</v>
      </c>
      <c r="C657" s="59" t="str">
        <f>IFERROR(__xludf.DUMMYFUNCTION("""COMPUTED_VALUE"""),"U.S. Embassy Copenhagen")</f>
        <v>U.S. Embassy Copenhagen</v>
      </c>
      <c r="D657" s="59" t="str">
        <f>IFERROR(__xludf.DUMMYFUNCTION("""COMPUTED_VALUE"""),"Instagram")</f>
        <v>Instagram</v>
      </c>
      <c r="E657" s="60" t="str">
        <f>IFERROR(__xludf.DUMMYFUNCTION("""COMPUTED_VALUE"""),"https://www.instagram.com/usembdenmark")</f>
        <v>https://www.instagram.com/usembdenmark</v>
      </c>
    </row>
    <row r="658">
      <c r="A658" s="59" t="str">
        <f>IFERROR(__xludf.DUMMYFUNCTION("""COMPUTED_VALUE"""),"EUR")</f>
        <v>EUR</v>
      </c>
      <c r="B658" s="59" t="str">
        <f>IFERROR(__xludf.DUMMYFUNCTION("""COMPUTED_VALUE"""),"Denmark")</f>
        <v>Denmark</v>
      </c>
      <c r="C658" s="59" t="str">
        <f>IFERROR(__xludf.DUMMYFUNCTION("""COMPUTED_VALUE"""),"U.S. Embassy Copenhagen")</f>
        <v>U.S. Embassy Copenhagen</v>
      </c>
      <c r="D658" s="59" t="str">
        <f>IFERROR(__xludf.DUMMYFUNCTION("""COMPUTED_VALUE"""),"LinkedIn")</f>
        <v>LinkedIn</v>
      </c>
      <c r="E658" s="60" t="str">
        <f>IFERROR(__xludf.DUMMYFUNCTION("""COMPUTED_VALUE"""),"https://www.linkedin.com/company/usembdenmark/")</f>
        <v>https://www.linkedin.com/company/usembdenmark/</v>
      </c>
    </row>
    <row r="659">
      <c r="A659" s="59" t="str">
        <f>IFERROR(__xludf.DUMMYFUNCTION("""COMPUTED_VALUE"""),"EUR")</f>
        <v>EUR</v>
      </c>
      <c r="B659" s="59" t="str">
        <f>IFERROR(__xludf.DUMMYFUNCTION("""COMPUTED_VALUE"""),"Denmark")</f>
        <v>Denmark</v>
      </c>
      <c r="C659" s="59" t="str">
        <f>IFERROR(__xludf.DUMMYFUNCTION("""COMPUTED_VALUE"""),"U.S. Embassy Copenhagen")</f>
        <v>U.S. Embassy Copenhagen</v>
      </c>
      <c r="D659" s="59" t="str">
        <f>IFERROR(__xludf.DUMMYFUNCTION("""COMPUTED_VALUE"""),"X")</f>
        <v>X</v>
      </c>
      <c r="E659" s="60" t="str">
        <f>IFERROR(__xludf.DUMMYFUNCTION("""COMPUTED_VALUE"""),"https://x.com/usembdenmark")</f>
        <v>https://x.com/usembdenmark</v>
      </c>
    </row>
    <row r="660">
      <c r="A660" s="59" t="str">
        <f>IFERROR(__xludf.DUMMYFUNCTION("""COMPUTED_VALUE"""),"EUR")</f>
        <v>EUR</v>
      </c>
      <c r="B660" s="59" t="str">
        <f>IFERROR(__xludf.DUMMYFUNCTION("""COMPUTED_VALUE"""),"Denmark")</f>
        <v>Denmark</v>
      </c>
      <c r="C660" s="59" t="str">
        <f>IFERROR(__xludf.DUMMYFUNCTION("""COMPUTED_VALUE"""),"U.S. Embassy Copenhagen")</f>
        <v>U.S. Embassy Copenhagen</v>
      </c>
      <c r="D660" s="59" t="str">
        <f>IFERROR(__xludf.DUMMYFUNCTION("""COMPUTED_VALUE"""),"YouTube")</f>
        <v>YouTube</v>
      </c>
      <c r="E660" s="60" t="str">
        <f>IFERROR(__xludf.DUMMYFUNCTION("""COMPUTED_VALUE"""),"https://www.youtube.com/USEmbCPH")</f>
        <v>https://www.youtube.com/USEmbCPH</v>
      </c>
    </row>
    <row r="661">
      <c r="A661" s="59" t="str">
        <f>IFERROR(__xludf.DUMMYFUNCTION("""COMPUTED_VALUE"""),"EUR")</f>
        <v>EUR</v>
      </c>
      <c r="B661" s="59" t="str">
        <f>IFERROR(__xludf.DUMMYFUNCTION("""COMPUTED_VALUE"""),"Estonia")</f>
        <v>Estonia</v>
      </c>
      <c r="C661" s="59" t="str">
        <f>IFERROR(__xludf.DUMMYFUNCTION("""COMPUTED_VALUE"""),"U.S. Ambassador to Estonia")</f>
        <v>U.S. Ambassador to Estonia</v>
      </c>
      <c r="D661" s="59" t="str">
        <f>IFERROR(__xludf.DUMMYFUNCTION("""COMPUTED_VALUE"""),"X")</f>
        <v>X</v>
      </c>
      <c r="E661" s="60" t="str">
        <f>IFERROR(__xludf.DUMMYFUNCTION("""COMPUTED_VALUE"""),"https://x.com/usambestonia")</f>
        <v>https://x.com/usambestonia</v>
      </c>
    </row>
    <row r="662">
      <c r="A662" s="59" t="str">
        <f>IFERROR(__xludf.DUMMYFUNCTION("""COMPUTED_VALUE"""),"EUR")</f>
        <v>EUR</v>
      </c>
      <c r="B662" s="59" t="str">
        <f>IFERROR(__xludf.DUMMYFUNCTION("""COMPUTED_VALUE"""),"Estonia")</f>
        <v>Estonia</v>
      </c>
      <c r="C662" s="59" t="str">
        <f>IFERROR(__xludf.DUMMYFUNCTION("""COMPUTED_VALUE"""),"U.S. Embassy Tallinn")</f>
        <v>U.S. Embassy Tallinn</v>
      </c>
      <c r="D662" s="59" t="str">
        <f>IFERROR(__xludf.DUMMYFUNCTION("""COMPUTED_VALUE"""),"Facebook")</f>
        <v>Facebook</v>
      </c>
      <c r="E662" s="60" t="str">
        <f>IFERROR(__xludf.DUMMYFUNCTION("""COMPUTED_VALUE"""),"https://www.facebook.com/estonia.usembassy/")</f>
        <v>https://www.facebook.com/estonia.usembassy/</v>
      </c>
    </row>
    <row r="663">
      <c r="A663" s="59" t="str">
        <f>IFERROR(__xludf.DUMMYFUNCTION("""COMPUTED_VALUE"""),"EUR")</f>
        <v>EUR</v>
      </c>
      <c r="B663" s="59" t="str">
        <f>IFERROR(__xludf.DUMMYFUNCTION("""COMPUTED_VALUE"""),"Estonia")</f>
        <v>Estonia</v>
      </c>
      <c r="C663" s="59" t="str">
        <f>IFERROR(__xludf.DUMMYFUNCTION("""COMPUTED_VALUE"""),"U.S. Embassy Tallinn")</f>
        <v>U.S. Embassy Tallinn</v>
      </c>
      <c r="D663" s="59" t="str">
        <f>IFERROR(__xludf.DUMMYFUNCTION("""COMPUTED_VALUE"""),"Instagram")</f>
        <v>Instagram</v>
      </c>
      <c r="E663" s="60" t="str">
        <f>IFERROR(__xludf.DUMMYFUNCTION("""COMPUTED_VALUE"""),"https://www.instagram.com/usembassytallinn")</f>
        <v>https://www.instagram.com/usembassytallinn</v>
      </c>
    </row>
    <row r="664">
      <c r="A664" s="59" t="str">
        <f>IFERROR(__xludf.DUMMYFUNCTION("""COMPUTED_VALUE"""),"EUR")</f>
        <v>EUR</v>
      </c>
      <c r="B664" s="59" t="str">
        <f>IFERROR(__xludf.DUMMYFUNCTION("""COMPUTED_VALUE"""),"Estonia")</f>
        <v>Estonia</v>
      </c>
      <c r="C664" s="59" t="str">
        <f>IFERROR(__xludf.DUMMYFUNCTION("""COMPUTED_VALUE"""),"U.S. Embassy Tallinn")</f>
        <v>U.S. Embassy Tallinn</v>
      </c>
      <c r="D664" s="59" t="str">
        <f>IFERROR(__xludf.DUMMYFUNCTION("""COMPUTED_VALUE"""),"X")</f>
        <v>X</v>
      </c>
      <c r="E664" s="60" t="str">
        <f>IFERROR(__xludf.DUMMYFUNCTION("""COMPUTED_VALUE"""),"https://x.com/USEmbTallinn")</f>
        <v>https://x.com/USEmbTallinn</v>
      </c>
    </row>
    <row r="665">
      <c r="A665" s="59" t="str">
        <f>IFERROR(__xludf.DUMMYFUNCTION("""COMPUTED_VALUE"""),"EUR")</f>
        <v>EUR</v>
      </c>
      <c r="B665" s="59" t="str">
        <f>IFERROR(__xludf.DUMMYFUNCTION("""COMPUTED_VALUE"""),"Estonia")</f>
        <v>Estonia</v>
      </c>
      <c r="C665" s="59" t="str">
        <f>IFERROR(__xludf.DUMMYFUNCTION("""COMPUTED_VALUE"""),"U.S. Embassy Tallinn")</f>
        <v>U.S. Embassy Tallinn</v>
      </c>
      <c r="D665" s="59" t="str">
        <f>IFERROR(__xludf.DUMMYFUNCTION("""COMPUTED_VALUE"""),"YouTube")</f>
        <v>YouTube</v>
      </c>
      <c r="E665" s="60" t="str">
        <f>IFERROR(__xludf.DUMMYFUNCTION("""COMPUTED_VALUE"""),"https://www.youtube.com/user/USEmbassyTallinn")</f>
        <v>https://www.youtube.com/user/USEmbassyTallinn</v>
      </c>
    </row>
    <row r="666">
      <c r="A666" s="59" t="str">
        <f>IFERROR(__xludf.DUMMYFUNCTION("""COMPUTED_VALUE"""),"EUR")</f>
        <v>EUR</v>
      </c>
      <c r="B666" s="59" t="str">
        <f>IFERROR(__xludf.DUMMYFUNCTION("""COMPUTED_VALUE"""),"Estonia")</f>
        <v>Estonia</v>
      </c>
      <c r="C666" s="59" t="str">
        <f>IFERROR(__xludf.DUMMYFUNCTION("""COMPUTED_VALUE"""),"U.S. Embassy Tallinn (Russian Language)")</f>
        <v>U.S. Embassy Tallinn (Russian Language)</v>
      </c>
      <c r="D666" s="59" t="str">
        <f>IFERROR(__xludf.DUMMYFUNCTION("""COMPUTED_VALUE"""),"Facebook")</f>
        <v>Facebook</v>
      </c>
      <c r="E666" s="60" t="str">
        <f>IFERROR(__xludf.DUMMYFUNCTION("""COMPUTED_VALUE"""),"https://www.facebook.com/estonia.usembassy.rus/")</f>
        <v>https://www.facebook.com/estonia.usembassy.rus/</v>
      </c>
    </row>
    <row r="667">
      <c r="A667" s="59" t="str">
        <f>IFERROR(__xludf.DUMMYFUNCTION("""COMPUTED_VALUE"""),"EUR")</f>
        <v>EUR</v>
      </c>
      <c r="B667" s="59" t="str">
        <f>IFERROR(__xludf.DUMMYFUNCTION("""COMPUTED_VALUE"""),"Finland")</f>
        <v>Finland</v>
      </c>
      <c r="C667" s="59" t="str">
        <f>IFERROR(__xludf.DUMMYFUNCTION("""COMPUTED_VALUE"""),"U.S. Embassy Helsinki")</f>
        <v>U.S. Embassy Helsinki</v>
      </c>
      <c r="D667" s="59" t="str">
        <f>IFERROR(__xludf.DUMMYFUNCTION("""COMPUTED_VALUE"""),"Facebook")</f>
        <v>Facebook</v>
      </c>
      <c r="E667" s="60" t="str">
        <f>IFERROR(__xludf.DUMMYFUNCTION("""COMPUTED_VALUE"""),"https://www.facebook.com/finland.usembassy/")</f>
        <v>https://www.facebook.com/finland.usembassy/</v>
      </c>
    </row>
    <row r="668">
      <c r="A668" s="59" t="str">
        <f>IFERROR(__xludf.DUMMYFUNCTION("""COMPUTED_VALUE"""),"EUR")</f>
        <v>EUR</v>
      </c>
      <c r="B668" s="59" t="str">
        <f>IFERROR(__xludf.DUMMYFUNCTION("""COMPUTED_VALUE"""),"Finland")</f>
        <v>Finland</v>
      </c>
      <c r="C668" s="59" t="str">
        <f>IFERROR(__xludf.DUMMYFUNCTION("""COMPUTED_VALUE"""),"U.S. Embassy Helsinki")</f>
        <v>U.S. Embassy Helsinki</v>
      </c>
      <c r="D668" s="59" t="str">
        <f>IFERROR(__xludf.DUMMYFUNCTION("""COMPUTED_VALUE"""),"Instagram")</f>
        <v>Instagram</v>
      </c>
      <c r="E668" s="60" t="str">
        <f>IFERROR(__xludf.DUMMYFUNCTION("""COMPUTED_VALUE"""),"https://www.instagram.com/usembfinland/")</f>
        <v>https://www.instagram.com/usembfinland/</v>
      </c>
    </row>
    <row r="669">
      <c r="A669" s="59" t="str">
        <f>IFERROR(__xludf.DUMMYFUNCTION("""COMPUTED_VALUE"""),"EUR")</f>
        <v>EUR</v>
      </c>
      <c r="B669" s="59" t="str">
        <f>IFERROR(__xludf.DUMMYFUNCTION("""COMPUTED_VALUE"""),"Finland")</f>
        <v>Finland</v>
      </c>
      <c r="C669" s="59" t="str">
        <f>IFERROR(__xludf.DUMMYFUNCTION("""COMPUTED_VALUE"""),"U.S. Embassy Helsinki")</f>
        <v>U.S. Embassy Helsinki</v>
      </c>
      <c r="D669" s="59" t="str">
        <f>IFERROR(__xludf.DUMMYFUNCTION("""COMPUTED_VALUE"""),"LinkedIn")</f>
        <v>LinkedIn</v>
      </c>
      <c r="E669" s="60" t="str">
        <f>IFERROR(__xludf.DUMMYFUNCTION("""COMPUTED_VALUE"""),"https://www.linkedin.com/company/usembfinland/")</f>
        <v>https://www.linkedin.com/company/usembfinland/</v>
      </c>
    </row>
    <row r="670">
      <c r="A670" s="59" t="str">
        <f>IFERROR(__xludf.DUMMYFUNCTION("""COMPUTED_VALUE"""),"EUR")</f>
        <v>EUR</v>
      </c>
      <c r="B670" s="59" t="str">
        <f>IFERROR(__xludf.DUMMYFUNCTION("""COMPUTED_VALUE"""),"Finland")</f>
        <v>Finland</v>
      </c>
      <c r="C670" s="59" t="str">
        <f>IFERROR(__xludf.DUMMYFUNCTION("""COMPUTED_VALUE"""),"U.S. Embassy Helsinki")</f>
        <v>U.S. Embassy Helsinki</v>
      </c>
      <c r="D670" s="59" t="str">
        <f>IFERROR(__xludf.DUMMYFUNCTION("""COMPUTED_VALUE"""),"X")</f>
        <v>X</v>
      </c>
      <c r="E670" s="60" t="str">
        <f>IFERROR(__xludf.DUMMYFUNCTION("""COMPUTED_VALUE"""),"https://x.com/usembfinland")</f>
        <v>https://x.com/usembfinland</v>
      </c>
    </row>
    <row r="671">
      <c r="A671" s="59" t="str">
        <f>IFERROR(__xludf.DUMMYFUNCTION("""COMPUTED_VALUE"""),"EUR")</f>
        <v>EUR</v>
      </c>
      <c r="B671" s="59" t="str">
        <f>IFERROR(__xludf.DUMMYFUNCTION("""COMPUTED_VALUE"""),"Finland")</f>
        <v>Finland</v>
      </c>
      <c r="C671" s="59" t="str">
        <f>IFERROR(__xludf.DUMMYFUNCTION("""COMPUTED_VALUE"""),"U.S. Embassy Helsinki")</f>
        <v>U.S. Embassy Helsinki</v>
      </c>
      <c r="D671" s="59" t="str">
        <f>IFERROR(__xludf.DUMMYFUNCTION("""COMPUTED_VALUE"""),"YouTube")</f>
        <v>YouTube</v>
      </c>
      <c r="E671" s="60" t="str">
        <f>IFERROR(__xludf.DUMMYFUNCTION("""COMPUTED_VALUE"""),"youtube.com/user/USEmbassyHelsinki")</f>
        <v>youtube.com/user/USEmbassyHelsinki</v>
      </c>
    </row>
    <row r="672">
      <c r="A672" s="59" t="str">
        <f>IFERROR(__xludf.DUMMYFUNCTION("""COMPUTED_VALUE"""),"EUR")</f>
        <v>EUR</v>
      </c>
      <c r="B672" s="59" t="str">
        <f>IFERROR(__xludf.DUMMYFUNCTION("""COMPUTED_VALUE"""),"Finland")</f>
        <v>Finland</v>
      </c>
      <c r="C672" s="59" t="str">
        <f>IFERROR(__xludf.DUMMYFUNCTION("""COMPUTED_VALUE"""),"U.S. Embassy Helsinki")</f>
        <v>U.S. Embassy Helsinki</v>
      </c>
      <c r="D672" s="59" t="str">
        <f>IFERROR(__xludf.DUMMYFUNCTION("""COMPUTED_VALUE"""),"Flickr")</f>
        <v>Flickr</v>
      </c>
      <c r="E672" s="60" t="str">
        <f>IFERROR(__xludf.DUMMYFUNCTION("""COMPUTED_VALUE"""),"https://www.flickr.com/photos/usembfinland/")</f>
        <v>https://www.flickr.com/photos/usembfinland/</v>
      </c>
    </row>
    <row r="673">
      <c r="A673" s="59" t="str">
        <f>IFERROR(__xludf.DUMMYFUNCTION("""COMPUTED_VALUE"""),"EUR")</f>
        <v>EUR</v>
      </c>
      <c r="B673" s="59" t="str">
        <f>IFERROR(__xludf.DUMMYFUNCTION("""COMPUTED_VALUE"""),"France")</f>
        <v>France</v>
      </c>
      <c r="C673" s="59" t="str">
        <f>IFERROR(__xludf.DUMMYFUNCTION("""COMPUTED_VALUE"""),"U.S. Ambassador to France")</f>
        <v>U.S. Ambassador to France</v>
      </c>
      <c r="D673" s="59" t="str">
        <f>IFERROR(__xludf.DUMMYFUNCTION("""COMPUTED_VALUE"""),"X")</f>
        <v>X</v>
      </c>
      <c r="E673" s="60" t="str">
        <f>IFERROR(__xludf.DUMMYFUNCTION("""COMPUTED_VALUE"""),"https://x.com/USAmbFrance")</f>
        <v>https://x.com/USAmbFrance</v>
      </c>
    </row>
    <row r="674">
      <c r="A674" s="59" t="str">
        <f>IFERROR(__xludf.DUMMYFUNCTION("""COMPUTED_VALUE"""),"EUR")</f>
        <v>EUR</v>
      </c>
      <c r="B674" s="59" t="str">
        <f>IFERROR(__xludf.DUMMYFUNCTION("""COMPUTED_VALUE"""),"France")</f>
        <v>France</v>
      </c>
      <c r="C674" s="59" t="str">
        <f>IFERROR(__xludf.DUMMYFUNCTION("""COMPUTED_VALUE"""),"U.S. Consulate General Bordeaux")</f>
        <v>U.S. Consulate General Bordeaux</v>
      </c>
      <c r="D674" s="59" t="str">
        <f>IFERROR(__xludf.DUMMYFUNCTION("""COMPUTED_VALUE"""),"Facebook")</f>
        <v>Facebook</v>
      </c>
      <c r="E674" s="60" t="str">
        <f>IFERROR(__xludf.DUMMYFUNCTION("""COMPUTED_VALUE"""),"https://www.facebook.com/usdos.bordeaux/")</f>
        <v>https://www.facebook.com/usdos.bordeaux/</v>
      </c>
    </row>
    <row r="675">
      <c r="A675" s="59" t="str">
        <f>IFERROR(__xludf.DUMMYFUNCTION("""COMPUTED_VALUE"""),"EUR")</f>
        <v>EUR</v>
      </c>
      <c r="B675" s="59" t="str">
        <f>IFERROR(__xludf.DUMMYFUNCTION("""COMPUTED_VALUE"""),"France")</f>
        <v>France</v>
      </c>
      <c r="C675" s="59" t="str">
        <f>IFERROR(__xludf.DUMMYFUNCTION("""COMPUTED_VALUE"""),"U.S. Consulate General Lyon")</f>
        <v>U.S. Consulate General Lyon</v>
      </c>
      <c r="D675" s="59" t="str">
        <f>IFERROR(__xludf.DUMMYFUNCTION("""COMPUTED_VALUE"""),"Facebook")</f>
        <v>Facebook</v>
      </c>
      <c r="E675" s="60" t="str">
        <f>IFERROR(__xludf.DUMMYFUNCTION("""COMPUTED_VALUE"""),"https://www.facebook.com/USConsulat.Lyon/")</f>
        <v>https://www.facebook.com/USConsulat.Lyon/</v>
      </c>
    </row>
    <row r="676">
      <c r="A676" s="59" t="str">
        <f>IFERROR(__xludf.DUMMYFUNCTION("""COMPUTED_VALUE"""),"EUR")</f>
        <v>EUR</v>
      </c>
      <c r="B676" s="59" t="str">
        <f>IFERROR(__xludf.DUMMYFUNCTION("""COMPUTED_VALUE"""),"France")</f>
        <v>France</v>
      </c>
      <c r="C676" s="59" t="str">
        <f>IFERROR(__xludf.DUMMYFUNCTION("""COMPUTED_VALUE"""),"U.S. Consulate General Lyon")</f>
        <v>U.S. Consulate General Lyon</v>
      </c>
      <c r="D676" s="59" t="str">
        <f>IFERROR(__xludf.DUMMYFUNCTION("""COMPUTED_VALUE"""),"Instagram")</f>
        <v>Instagram</v>
      </c>
      <c r="E676" s="60" t="str">
        <f>IFERROR(__xludf.DUMMYFUNCTION("""COMPUTED_VALUE"""),"https://www.instagram.com/usconsulatelyon/")</f>
        <v>https://www.instagram.com/usconsulatelyon/</v>
      </c>
    </row>
    <row r="677">
      <c r="A677" s="59" t="str">
        <f>IFERROR(__xludf.DUMMYFUNCTION("""COMPUTED_VALUE"""),"EUR")</f>
        <v>EUR</v>
      </c>
      <c r="B677" s="59" t="str">
        <f>IFERROR(__xludf.DUMMYFUNCTION("""COMPUTED_VALUE"""),"France")</f>
        <v>France</v>
      </c>
      <c r="C677" s="59" t="str">
        <f>IFERROR(__xludf.DUMMYFUNCTION("""COMPUTED_VALUE"""),"U.S. Consulate General Marseille")</f>
        <v>U.S. Consulate General Marseille</v>
      </c>
      <c r="D677" s="59" t="str">
        <f>IFERROR(__xludf.DUMMYFUNCTION("""COMPUTED_VALUE"""),"Facebook")</f>
        <v>Facebook</v>
      </c>
      <c r="E677" s="60" t="str">
        <f>IFERROR(__xludf.DUMMYFUNCTION("""COMPUTED_VALUE"""),"https://www.facebook.com/usdos.marseille/")</f>
        <v>https://www.facebook.com/usdos.marseille/</v>
      </c>
    </row>
    <row r="678">
      <c r="A678" s="59" t="str">
        <f>IFERROR(__xludf.DUMMYFUNCTION("""COMPUTED_VALUE"""),"EUR")</f>
        <v>EUR</v>
      </c>
      <c r="B678" s="59" t="str">
        <f>IFERROR(__xludf.DUMMYFUNCTION("""COMPUTED_VALUE"""),"France")</f>
        <v>France</v>
      </c>
      <c r="C678" s="59" t="str">
        <f>IFERROR(__xludf.DUMMYFUNCTION("""COMPUTED_VALUE"""),"U.S. Consulate General Marseille")</f>
        <v>U.S. Consulate General Marseille</v>
      </c>
      <c r="D678" s="59" t="str">
        <f>IFERROR(__xludf.DUMMYFUNCTION("""COMPUTED_VALUE"""),"Instagram")</f>
        <v>Instagram</v>
      </c>
      <c r="E678" s="60" t="str">
        <f>IFERROR(__xludf.DUMMYFUNCTION("""COMPUTED_VALUE"""),"https://www.instagram.com/usconsulatemarseille/")</f>
        <v>https://www.instagram.com/usconsulatemarseille/</v>
      </c>
    </row>
    <row r="679">
      <c r="A679" s="59" t="str">
        <f>IFERROR(__xludf.DUMMYFUNCTION("""COMPUTED_VALUE"""),"EUR")</f>
        <v>EUR</v>
      </c>
      <c r="B679" s="59" t="str">
        <f>IFERROR(__xludf.DUMMYFUNCTION("""COMPUTED_VALUE"""),"France")</f>
        <v>France</v>
      </c>
      <c r="C679" s="59" t="str">
        <f>IFERROR(__xludf.DUMMYFUNCTION("""COMPUTED_VALUE"""),"U.S. Consulate General Marseille")</f>
        <v>U.S. Consulate General Marseille</v>
      </c>
      <c r="D679" s="59" t="str">
        <f>IFERROR(__xludf.DUMMYFUNCTION("""COMPUTED_VALUE"""),"X")</f>
        <v>X</v>
      </c>
      <c r="E679" s="60" t="str">
        <f>IFERROR(__xludf.DUMMYFUNCTION("""COMPUTED_VALUE"""),"https://x.com/usamarseille")</f>
        <v>https://x.com/usamarseille</v>
      </c>
    </row>
    <row r="680">
      <c r="A680" s="59" t="str">
        <f>IFERROR(__xludf.DUMMYFUNCTION("""COMPUTED_VALUE"""),"EUR")</f>
        <v>EUR</v>
      </c>
      <c r="B680" s="59" t="str">
        <f>IFERROR(__xludf.DUMMYFUNCTION("""COMPUTED_VALUE"""),"France")</f>
        <v>France</v>
      </c>
      <c r="C680" s="59" t="str">
        <f>IFERROR(__xludf.DUMMYFUNCTION("""COMPUTED_VALUE"""),"U.S. Consulate General Rennes")</f>
        <v>U.S. Consulate General Rennes</v>
      </c>
      <c r="D680" s="59" t="str">
        <f>IFERROR(__xludf.DUMMYFUNCTION("""COMPUTED_VALUE"""),"Facebook")</f>
        <v>Facebook</v>
      </c>
      <c r="E680" s="60" t="str">
        <f>IFERROR(__xludf.DUMMYFUNCTION("""COMPUTED_VALUE"""),"https://www.facebook.com/usdos.rennes/")</f>
        <v>https://www.facebook.com/usdos.rennes/</v>
      </c>
    </row>
    <row r="681">
      <c r="A681" s="59" t="str">
        <f>IFERROR(__xludf.DUMMYFUNCTION("""COMPUTED_VALUE"""),"EUR")</f>
        <v>EUR</v>
      </c>
      <c r="B681" s="59" t="str">
        <f>IFERROR(__xludf.DUMMYFUNCTION("""COMPUTED_VALUE"""),"France")</f>
        <v>France</v>
      </c>
      <c r="C681" s="59" t="str">
        <f>IFERROR(__xludf.DUMMYFUNCTION("""COMPUTED_VALUE"""),"U.S. Consulate General Rennes")</f>
        <v>U.S. Consulate General Rennes</v>
      </c>
      <c r="D681" s="59" t="str">
        <f>IFERROR(__xludf.DUMMYFUNCTION("""COMPUTED_VALUE"""),"Instagram")</f>
        <v>Instagram</v>
      </c>
      <c r="E681" s="60" t="str">
        <f>IFERROR(__xludf.DUMMYFUNCTION("""COMPUTED_VALUE"""),"https://www.instagram.com/usconsulaterennes/")</f>
        <v>https://www.instagram.com/usconsulaterennes/</v>
      </c>
    </row>
    <row r="682">
      <c r="A682" s="59" t="str">
        <f>IFERROR(__xludf.DUMMYFUNCTION("""COMPUTED_VALUE"""),"EUR")</f>
        <v>EUR</v>
      </c>
      <c r="B682" s="59" t="str">
        <f>IFERROR(__xludf.DUMMYFUNCTION("""COMPUTED_VALUE"""),"France")</f>
        <v>France</v>
      </c>
      <c r="C682" s="59" t="str">
        <f>IFERROR(__xludf.DUMMYFUNCTION("""COMPUTED_VALUE"""),"U.S. Consulate General Rennes")</f>
        <v>U.S. Consulate General Rennes</v>
      </c>
      <c r="D682" s="59" t="str">
        <f>IFERROR(__xludf.DUMMYFUNCTION("""COMPUTED_VALUE"""),"X")</f>
        <v>X</v>
      </c>
      <c r="E682" s="60" t="str">
        <f>IFERROR(__xludf.DUMMYFUNCTION("""COMPUTED_VALUE"""),"https://x.com/ConsulatRennes")</f>
        <v>https://x.com/ConsulatRennes</v>
      </c>
    </row>
    <row r="683">
      <c r="A683" s="59" t="str">
        <f>IFERROR(__xludf.DUMMYFUNCTION("""COMPUTED_VALUE"""),"EUR")</f>
        <v>EUR</v>
      </c>
      <c r="B683" s="59" t="str">
        <f>IFERROR(__xludf.DUMMYFUNCTION("""COMPUTED_VALUE"""),"France")</f>
        <v>France</v>
      </c>
      <c r="C683" s="59" t="str">
        <f>IFERROR(__xludf.DUMMYFUNCTION("""COMPUTED_VALUE"""),"U.S. Consulate General Strasbourg")</f>
        <v>U.S. Consulate General Strasbourg</v>
      </c>
      <c r="D683" s="59" t="str">
        <f>IFERROR(__xludf.DUMMYFUNCTION("""COMPUTED_VALUE"""),"Facebook")</f>
        <v>Facebook</v>
      </c>
      <c r="E683" s="60" t="str">
        <f>IFERROR(__xludf.DUMMYFUNCTION("""COMPUTED_VALUE"""),"facebook.com/strasbourg.usconsulate")</f>
        <v>facebook.com/strasbourg.usconsulate</v>
      </c>
    </row>
    <row r="684">
      <c r="A684" s="59" t="str">
        <f>IFERROR(__xludf.DUMMYFUNCTION("""COMPUTED_VALUE"""),"EUR")</f>
        <v>EUR</v>
      </c>
      <c r="B684" s="59" t="str">
        <f>IFERROR(__xludf.DUMMYFUNCTION("""COMPUTED_VALUE"""),"France")</f>
        <v>France</v>
      </c>
      <c r="C684" s="59" t="str">
        <f>IFERROR(__xludf.DUMMYFUNCTION("""COMPUTED_VALUE"""),"U.S. Consulate General Strasbourg")</f>
        <v>U.S. Consulate General Strasbourg</v>
      </c>
      <c r="D684" s="59" t="str">
        <f>IFERROR(__xludf.DUMMYFUNCTION("""COMPUTED_VALUE"""),"Instagram")</f>
        <v>Instagram</v>
      </c>
      <c r="E684" s="60" t="str">
        <f>IFERROR(__xludf.DUMMYFUNCTION("""COMPUTED_VALUE"""),"https://www.instagram.com/usa_strasbourg/")</f>
        <v>https://www.instagram.com/usa_strasbourg/</v>
      </c>
    </row>
    <row r="685">
      <c r="A685" s="59" t="str">
        <f>IFERROR(__xludf.DUMMYFUNCTION("""COMPUTED_VALUE"""),"EUR")</f>
        <v>EUR</v>
      </c>
      <c r="B685" s="59" t="str">
        <f>IFERROR(__xludf.DUMMYFUNCTION("""COMPUTED_VALUE"""),"France")</f>
        <v>France</v>
      </c>
      <c r="C685" s="59" t="str">
        <f>IFERROR(__xludf.DUMMYFUNCTION("""COMPUTED_VALUE"""),"U.S. Consulate General Strasbourg")</f>
        <v>U.S. Consulate General Strasbourg</v>
      </c>
      <c r="D685" s="59" t="str">
        <f>IFERROR(__xludf.DUMMYFUNCTION("""COMPUTED_VALUE"""),"X")</f>
        <v>X</v>
      </c>
      <c r="E685" s="60" t="str">
        <f>IFERROR(__xludf.DUMMYFUNCTION("""COMPUTED_VALUE"""),"https://x.com/USAStrasbourg")</f>
        <v>https://x.com/USAStrasbourg</v>
      </c>
    </row>
    <row r="686">
      <c r="A686" s="59" t="str">
        <f>IFERROR(__xludf.DUMMYFUNCTION("""COMPUTED_VALUE"""),"EUR")</f>
        <v>EUR</v>
      </c>
      <c r="B686" s="59" t="str">
        <f>IFERROR(__xludf.DUMMYFUNCTION("""COMPUTED_VALUE"""),"France")</f>
        <v>France</v>
      </c>
      <c r="C686" s="59" t="str">
        <f>IFERROR(__xludf.DUMMYFUNCTION("""COMPUTED_VALUE"""),"U.S. Embassy Paris")</f>
        <v>U.S. Embassy Paris</v>
      </c>
      <c r="D686" s="59" t="str">
        <f>IFERROR(__xludf.DUMMYFUNCTION("""COMPUTED_VALUE"""),"Facebook")</f>
        <v>Facebook</v>
      </c>
      <c r="E686" s="60" t="str">
        <f>IFERROR(__xludf.DUMMYFUNCTION("""COMPUTED_VALUE"""),"https://www.facebook.com/usdos.france/")</f>
        <v>https://www.facebook.com/usdos.france/</v>
      </c>
    </row>
    <row r="687">
      <c r="A687" s="59" t="str">
        <f>IFERROR(__xludf.DUMMYFUNCTION("""COMPUTED_VALUE"""),"EUR")</f>
        <v>EUR</v>
      </c>
      <c r="B687" s="59" t="str">
        <f>IFERROR(__xludf.DUMMYFUNCTION("""COMPUTED_VALUE"""),"France")</f>
        <v>France</v>
      </c>
      <c r="C687" s="59" t="str">
        <f>IFERROR(__xludf.DUMMYFUNCTION("""COMPUTED_VALUE"""),"U.S. Embassy Paris")</f>
        <v>U.S. Embassy Paris</v>
      </c>
      <c r="D687" s="59" t="str">
        <f>IFERROR(__xludf.DUMMYFUNCTION("""COMPUTED_VALUE"""),"Instagram")</f>
        <v>Instagram</v>
      </c>
      <c r="E687" s="60" t="str">
        <f>IFERROR(__xludf.DUMMYFUNCTION("""COMPUTED_VALUE"""),"https://www.instagram.com/usembassyfrance")</f>
        <v>https://www.instagram.com/usembassyfrance</v>
      </c>
    </row>
    <row r="688">
      <c r="A688" s="59" t="str">
        <f>IFERROR(__xludf.DUMMYFUNCTION("""COMPUTED_VALUE"""),"EUR")</f>
        <v>EUR</v>
      </c>
      <c r="B688" s="59" t="str">
        <f>IFERROR(__xludf.DUMMYFUNCTION("""COMPUTED_VALUE"""),"France")</f>
        <v>France</v>
      </c>
      <c r="C688" s="59" t="str">
        <f>IFERROR(__xludf.DUMMYFUNCTION("""COMPUTED_VALUE"""),"U.S. Embassy Paris")</f>
        <v>U.S. Embassy Paris</v>
      </c>
      <c r="D688" s="59" t="str">
        <f>IFERROR(__xludf.DUMMYFUNCTION("""COMPUTED_VALUE"""),"X")</f>
        <v>X</v>
      </c>
      <c r="E688" s="60" t="str">
        <f>IFERROR(__xludf.DUMMYFUNCTION("""COMPUTED_VALUE"""),"https://x.com/USEmbassyFrance")</f>
        <v>https://x.com/USEmbassyFrance</v>
      </c>
    </row>
    <row r="689">
      <c r="A689" s="59" t="str">
        <f>IFERROR(__xludf.DUMMYFUNCTION("""COMPUTED_VALUE"""),"EUR")</f>
        <v>EUR</v>
      </c>
      <c r="B689" s="59" t="str">
        <f>IFERROR(__xludf.DUMMYFUNCTION("""COMPUTED_VALUE"""),"France")</f>
        <v>France</v>
      </c>
      <c r="C689" s="59" t="str">
        <f>IFERROR(__xludf.DUMMYFUNCTION("""COMPUTED_VALUE"""),"U.S. Embassy Paris")</f>
        <v>U.S. Embassy Paris</v>
      </c>
      <c r="D689" s="59" t="str">
        <f>IFERROR(__xludf.DUMMYFUNCTION("""COMPUTED_VALUE"""),"LinkedIn")</f>
        <v>LinkedIn</v>
      </c>
      <c r="E689" s="60" t="str">
        <f>IFERROR(__xludf.DUMMYFUNCTION("""COMPUTED_VALUE"""),"https://www.linkedin.com/company/u-s-embassy-france/")</f>
        <v>https://www.linkedin.com/company/u-s-embassy-france/</v>
      </c>
    </row>
    <row r="690">
      <c r="A690" s="59" t="str">
        <f>IFERROR(__xludf.DUMMYFUNCTION("""COMPUTED_VALUE"""),"EUR")</f>
        <v>EUR</v>
      </c>
      <c r="B690" s="59" t="str">
        <f>IFERROR(__xludf.DUMMYFUNCTION("""COMPUTED_VALUE"""),"France")</f>
        <v>France</v>
      </c>
      <c r="C690" s="59" t="str">
        <f>IFERROR(__xludf.DUMMYFUNCTION("""COMPUTED_VALUE"""),"U.S. Embassy Paris")</f>
        <v>U.S. Embassy Paris</v>
      </c>
      <c r="D690" s="59" t="str">
        <f>IFERROR(__xludf.DUMMYFUNCTION("""COMPUTED_VALUE"""),"YouTube")</f>
        <v>YouTube</v>
      </c>
      <c r="E690" s="60" t="str">
        <f>IFERROR(__xludf.DUMMYFUNCTION("""COMPUTED_VALUE"""),"https://www.youtube.com/@u.s.embassyfrance")</f>
        <v>https://www.youtube.com/@u.s.embassyfrance</v>
      </c>
    </row>
    <row r="691">
      <c r="A691" s="59" t="str">
        <f>IFERROR(__xludf.DUMMYFUNCTION("""COMPUTED_VALUE"""),"EUR")</f>
        <v>EUR</v>
      </c>
      <c r="B691" s="59" t="str">
        <f>IFERROR(__xludf.DUMMYFUNCTION("""COMPUTED_VALUE"""),"France")</f>
        <v>France</v>
      </c>
      <c r="C691" s="59" t="str">
        <f>IFERROR(__xludf.DUMMYFUNCTION("""COMPUTED_VALUE"""),"U.S. Mission to the OECD")</f>
        <v>U.S. Mission to the OECD</v>
      </c>
      <c r="D691" s="59" t="str">
        <f>IFERROR(__xludf.DUMMYFUNCTION("""COMPUTED_VALUE"""),"Facebook")</f>
        <v>Facebook</v>
      </c>
      <c r="E691" s="60" t="str">
        <f>IFERROR(__xludf.DUMMYFUNCTION("""COMPUTED_VALUE"""),"https://www.facebook.com/USMissionOECD")</f>
        <v>https://www.facebook.com/USMissionOECD</v>
      </c>
    </row>
    <row r="692">
      <c r="A692" s="59" t="str">
        <f>IFERROR(__xludf.DUMMYFUNCTION("""COMPUTED_VALUE"""),"EUR")</f>
        <v>EUR</v>
      </c>
      <c r="B692" s="59" t="str">
        <f>IFERROR(__xludf.DUMMYFUNCTION("""COMPUTED_VALUE"""),"France")</f>
        <v>France</v>
      </c>
      <c r="C692" s="59" t="str">
        <f>IFERROR(__xludf.DUMMYFUNCTION("""COMPUTED_VALUE"""),"U.S. Mission to the OECD")</f>
        <v>U.S. Mission to the OECD</v>
      </c>
      <c r="D692" s="59" t="str">
        <f>IFERROR(__xludf.DUMMYFUNCTION("""COMPUTED_VALUE"""),"X")</f>
        <v>X</v>
      </c>
      <c r="E692" s="60" t="str">
        <f>IFERROR(__xludf.DUMMYFUNCTION("""COMPUTED_VALUE"""),"https://x.com/USOECD")</f>
        <v>https://x.com/USOECD</v>
      </c>
    </row>
    <row r="693">
      <c r="A693" s="59" t="str">
        <f>IFERROR(__xludf.DUMMYFUNCTION("""COMPUTED_VALUE"""),"EUR")</f>
        <v>EUR</v>
      </c>
      <c r="B693" s="59" t="str">
        <f>IFERROR(__xludf.DUMMYFUNCTION("""COMPUTED_VALUE"""),"Georgia")</f>
        <v>Georgia</v>
      </c>
      <c r="C693" s="59" t="str">
        <f>IFERROR(__xludf.DUMMYFUNCTION("""COMPUTED_VALUE"""),"U.S. Embassy Tbilisi")</f>
        <v>U.S. Embassy Tbilisi</v>
      </c>
      <c r="D693" s="59" t="str">
        <f>IFERROR(__xludf.DUMMYFUNCTION("""COMPUTED_VALUE"""),"Facebook")</f>
        <v>Facebook</v>
      </c>
      <c r="E693" s="60" t="str">
        <f>IFERROR(__xludf.DUMMYFUNCTION("""COMPUTED_VALUE"""),"https://www.facebook.com/usingeo/")</f>
        <v>https://www.facebook.com/usingeo/</v>
      </c>
    </row>
    <row r="694">
      <c r="A694" s="59" t="str">
        <f>IFERROR(__xludf.DUMMYFUNCTION("""COMPUTED_VALUE"""),"EUR")</f>
        <v>EUR</v>
      </c>
      <c r="B694" s="59" t="str">
        <f>IFERROR(__xludf.DUMMYFUNCTION("""COMPUTED_VALUE"""),"Georgia")</f>
        <v>Georgia</v>
      </c>
      <c r="C694" s="59" t="str">
        <f>IFERROR(__xludf.DUMMYFUNCTION("""COMPUTED_VALUE"""),"U.S. Embassy Tbilisi")</f>
        <v>U.S. Embassy Tbilisi</v>
      </c>
      <c r="D694" s="59" t="str">
        <f>IFERROR(__xludf.DUMMYFUNCTION("""COMPUTED_VALUE"""),"Instagram")</f>
        <v>Instagram</v>
      </c>
      <c r="E694" s="60" t="str">
        <f>IFERROR(__xludf.DUMMYFUNCTION("""COMPUTED_VALUE"""),"https://www.instagram.com/usingeo")</f>
        <v>https://www.instagram.com/usingeo</v>
      </c>
    </row>
    <row r="695">
      <c r="A695" s="59" t="str">
        <f>IFERROR(__xludf.DUMMYFUNCTION("""COMPUTED_VALUE"""),"EUR")</f>
        <v>EUR</v>
      </c>
      <c r="B695" s="59" t="str">
        <f>IFERROR(__xludf.DUMMYFUNCTION("""COMPUTED_VALUE"""),"Georgia")</f>
        <v>Georgia</v>
      </c>
      <c r="C695" s="59" t="str">
        <f>IFERROR(__xludf.DUMMYFUNCTION("""COMPUTED_VALUE"""),"U.S. Embassy Tbilisi")</f>
        <v>U.S. Embassy Tbilisi</v>
      </c>
      <c r="D695" s="59" t="str">
        <f>IFERROR(__xludf.DUMMYFUNCTION("""COMPUTED_VALUE"""),"X")</f>
        <v>X</v>
      </c>
      <c r="E695" s="60" t="str">
        <f>IFERROR(__xludf.DUMMYFUNCTION("""COMPUTED_VALUE"""),"https://x.com/usingeo")</f>
        <v>https://x.com/usingeo</v>
      </c>
    </row>
    <row r="696">
      <c r="A696" s="59" t="str">
        <f>IFERROR(__xludf.DUMMYFUNCTION("""COMPUTED_VALUE"""),"EUR")</f>
        <v>EUR</v>
      </c>
      <c r="B696" s="59" t="str">
        <f>IFERROR(__xludf.DUMMYFUNCTION("""COMPUTED_VALUE"""),"Georgia")</f>
        <v>Georgia</v>
      </c>
      <c r="C696" s="59" t="str">
        <f>IFERROR(__xludf.DUMMYFUNCTION("""COMPUTED_VALUE"""),"U.S. Embassy Tbilisi")</f>
        <v>U.S. Embassy Tbilisi</v>
      </c>
      <c r="D696" s="59" t="str">
        <f>IFERROR(__xludf.DUMMYFUNCTION("""COMPUTED_VALUE"""),"YouTube")</f>
        <v>YouTube</v>
      </c>
      <c r="E696" s="60" t="str">
        <f>IFERROR(__xludf.DUMMYFUNCTION("""COMPUTED_VALUE"""),"youtube.com/user/USEmbassyTbilisi")</f>
        <v>youtube.com/user/USEmbassyTbilisi</v>
      </c>
    </row>
    <row r="697">
      <c r="A697" s="59" t="str">
        <f>IFERROR(__xludf.DUMMYFUNCTION("""COMPUTED_VALUE"""),"EUR")</f>
        <v>EUR</v>
      </c>
      <c r="B697" s="59" t="str">
        <f>IFERROR(__xludf.DUMMYFUNCTION("""COMPUTED_VALUE"""),"Germany")</f>
        <v>Germany</v>
      </c>
      <c r="C697" s="59" t="str">
        <f>IFERROR(__xludf.DUMMYFUNCTION("""COMPUTED_VALUE"""),"U.S. Ambassador to Germany")</f>
        <v>U.S. Ambassador to Germany</v>
      </c>
      <c r="D697" s="59" t="str">
        <f>IFERROR(__xludf.DUMMYFUNCTION("""COMPUTED_VALUE"""),"Instagram")</f>
        <v>Instagram</v>
      </c>
      <c r="E697" s="60" t="str">
        <f>IFERROR(__xludf.DUMMYFUNCTION("""COMPUTED_VALUE"""),"https://www.instagram.com/usambgermany/")</f>
        <v>https://www.instagram.com/usambgermany/</v>
      </c>
    </row>
    <row r="698">
      <c r="A698" s="59" t="str">
        <f>IFERROR(__xludf.DUMMYFUNCTION("""COMPUTED_VALUE"""),"EUR")</f>
        <v>EUR</v>
      </c>
      <c r="B698" s="59" t="str">
        <f>IFERROR(__xludf.DUMMYFUNCTION("""COMPUTED_VALUE"""),"Germany")</f>
        <v>Germany</v>
      </c>
      <c r="C698" s="59" t="str">
        <f>IFERROR(__xludf.DUMMYFUNCTION("""COMPUTED_VALUE"""),"U.S. Ambassador to Germany")</f>
        <v>U.S. Ambassador to Germany</v>
      </c>
      <c r="D698" s="59" t="str">
        <f>IFERROR(__xludf.DUMMYFUNCTION("""COMPUTED_VALUE"""),"X")</f>
        <v>X</v>
      </c>
      <c r="E698" s="60" t="str">
        <f>IFERROR(__xludf.DUMMYFUNCTION("""COMPUTED_VALUE"""),"https://x.com/USAmbGermany")</f>
        <v>https://x.com/USAmbGermany</v>
      </c>
    </row>
    <row r="699">
      <c r="A699" s="59" t="str">
        <f>IFERROR(__xludf.DUMMYFUNCTION("""COMPUTED_VALUE"""),"EUR")</f>
        <v>EUR</v>
      </c>
      <c r="B699" s="59" t="str">
        <f>IFERROR(__xludf.DUMMYFUNCTION("""COMPUTED_VALUE"""),"Germany")</f>
        <v>Germany</v>
      </c>
      <c r="C699" s="59" t="str">
        <f>IFERROR(__xludf.DUMMYFUNCTION("""COMPUTED_VALUE"""),"U.S. Consulate General Düsseldorf")</f>
        <v>U.S. Consulate General Düsseldorf</v>
      </c>
      <c r="D699" s="59" t="str">
        <f>IFERROR(__xludf.DUMMYFUNCTION("""COMPUTED_VALUE"""),"Facebook")</f>
        <v>Facebook</v>
      </c>
      <c r="E699" s="60" t="str">
        <f>IFERROR(__xludf.DUMMYFUNCTION("""COMPUTED_VALUE"""),"https://www.facebook.com/USConGenNRW/")</f>
        <v>https://www.facebook.com/USConGenNRW/</v>
      </c>
    </row>
    <row r="700">
      <c r="A700" s="59" t="str">
        <f>IFERROR(__xludf.DUMMYFUNCTION("""COMPUTED_VALUE"""),"EUR")</f>
        <v>EUR</v>
      </c>
      <c r="B700" s="59" t="str">
        <f>IFERROR(__xludf.DUMMYFUNCTION("""COMPUTED_VALUE"""),"Germany")</f>
        <v>Germany</v>
      </c>
      <c r="C700" s="59" t="str">
        <f>IFERROR(__xludf.DUMMYFUNCTION("""COMPUTED_VALUE"""),"U.S. Consulate General Düsseldorf")</f>
        <v>U.S. Consulate General Düsseldorf</v>
      </c>
      <c r="D700" s="59" t="str">
        <f>IFERROR(__xludf.DUMMYFUNCTION("""COMPUTED_VALUE"""),"Instagram")</f>
        <v>Instagram</v>
      </c>
      <c r="E700" s="60" t="str">
        <f>IFERROR(__xludf.DUMMYFUNCTION("""COMPUTED_VALUE"""),"https://www.instagram.com/usconsduesseldorf/")</f>
        <v>https://www.instagram.com/usconsduesseldorf/</v>
      </c>
    </row>
    <row r="701">
      <c r="A701" s="59" t="str">
        <f>IFERROR(__xludf.DUMMYFUNCTION("""COMPUTED_VALUE"""),"EUR")</f>
        <v>EUR</v>
      </c>
      <c r="B701" s="59" t="str">
        <f>IFERROR(__xludf.DUMMYFUNCTION("""COMPUTED_VALUE"""),"Germany")</f>
        <v>Germany</v>
      </c>
      <c r="C701" s="59" t="str">
        <f>IFERROR(__xludf.DUMMYFUNCTION("""COMPUTED_VALUE"""),"U.S. Consulate General Düsseldorf")</f>
        <v>U.S. Consulate General Düsseldorf</v>
      </c>
      <c r="D701" s="59" t="str">
        <f>IFERROR(__xludf.DUMMYFUNCTION("""COMPUTED_VALUE"""),"X")</f>
        <v>X</v>
      </c>
      <c r="E701" s="60" t="str">
        <f>IFERROR(__xludf.DUMMYFUNCTION("""COMPUTED_VALUE"""),"https://x.com/USConGenNRW")</f>
        <v>https://x.com/USConGenNRW</v>
      </c>
    </row>
    <row r="702">
      <c r="A702" s="59" t="str">
        <f>IFERROR(__xludf.DUMMYFUNCTION("""COMPUTED_VALUE"""),"EUR")</f>
        <v>EUR</v>
      </c>
      <c r="B702" s="59" t="str">
        <f>IFERROR(__xludf.DUMMYFUNCTION("""COMPUTED_VALUE"""),"Germany")</f>
        <v>Germany</v>
      </c>
      <c r="C702" s="59" t="str">
        <f>IFERROR(__xludf.DUMMYFUNCTION("""COMPUTED_VALUE"""),"U.S. Consulate General Düsseldorf")</f>
        <v>U.S. Consulate General Düsseldorf</v>
      </c>
      <c r="D702" s="59" t="str">
        <f>IFERROR(__xludf.DUMMYFUNCTION("""COMPUTED_VALUE"""),"LinkedIn")</f>
        <v>LinkedIn</v>
      </c>
      <c r="E702" s="60" t="str">
        <f>IFERROR(__xludf.DUMMYFUNCTION("""COMPUTED_VALUE"""),"https://www.linkedin.com/in/us-consulate-general-duesseldorf-99aba023b/")</f>
        <v>https://www.linkedin.com/in/us-consulate-general-duesseldorf-99aba023b/</v>
      </c>
    </row>
    <row r="703">
      <c r="A703" s="59" t="str">
        <f>IFERROR(__xludf.DUMMYFUNCTION("""COMPUTED_VALUE"""),"EUR")</f>
        <v>EUR</v>
      </c>
      <c r="B703" s="59" t="str">
        <f>IFERROR(__xludf.DUMMYFUNCTION("""COMPUTED_VALUE"""),"Germany")</f>
        <v>Germany</v>
      </c>
      <c r="C703" s="59" t="str">
        <f>IFERROR(__xludf.DUMMYFUNCTION("""COMPUTED_VALUE"""),"U.S. Consulate General Frankfurt")</f>
        <v>U.S. Consulate General Frankfurt</v>
      </c>
      <c r="D703" s="59" t="str">
        <f>IFERROR(__xludf.DUMMYFUNCTION("""COMPUTED_VALUE"""),"Facebook")</f>
        <v>Facebook</v>
      </c>
      <c r="E703" s="60" t="str">
        <f>IFERROR(__xludf.DUMMYFUNCTION("""COMPUTED_VALUE"""),"https://www.facebook.com/usconsulate.frankfurt/")</f>
        <v>https://www.facebook.com/usconsulate.frankfurt/</v>
      </c>
    </row>
    <row r="704">
      <c r="A704" s="59" t="str">
        <f>IFERROR(__xludf.DUMMYFUNCTION("""COMPUTED_VALUE"""),"EUR")</f>
        <v>EUR</v>
      </c>
      <c r="B704" s="59" t="str">
        <f>IFERROR(__xludf.DUMMYFUNCTION("""COMPUTED_VALUE"""),"Germany")</f>
        <v>Germany</v>
      </c>
      <c r="C704" s="59" t="str">
        <f>IFERROR(__xludf.DUMMYFUNCTION("""COMPUTED_VALUE"""),"U.S. Consulate General Frankfurt")</f>
        <v>U.S. Consulate General Frankfurt</v>
      </c>
      <c r="D704" s="59" t="str">
        <f>IFERROR(__xludf.DUMMYFUNCTION("""COMPUTED_VALUE"""),"Instagram")</f>
        <v>Instagram</v>
      </c>
      <c r="E704" s="60" t="str">
        <f>IFERROR(__xludf.DUMMYFUNCTION("""COMPUTED_VALUE"""),"https://www.instagram.com/usconsfrankfurt/")</f>
        <v>https://www.instagram.com/usconsfrankfurt/</v>
      </c>
    </row>
    <row r="705">
      <c r="A705" s="59" t="str">
        <f>IFERROR(__xludf.DUMMYFUNCTION("""COMPUTED_VALUE"""),"EUR")</f>
        <v>EUR</v>
      </c>
      <c r="B705" s="59" t="str">
        <f>IFERROR(__xludf.DUMMYFUNCTION("""COMPUTED_VALUE"""),"Germany")</f>
        <v>Germany</v>
      </c>
      <c r="C705" s="59" t="str">
        <f>IFERROR(__xludf.DUMMYFUNCTION("""COMPUTED_VALUE"""),"U.S. Consulate General Frankfurt")</f>
        <v>U.S. Consulate General Frankfurt</v>
      </c>
      <c r="D705" s="59" t="str">
        <f>IFERROR(__xludf.DUMMYFUNCTION("""COMPUTED_VALUE"""),"LinkedIn")</f>
        <v>LinkedIn</v>
      </c>
      <c r="E705" s="60" t="str">
        <f>IFERROR(__xludf.DUMMYFUNCTION("""COMPUTED_VALUE"""),"https://www.linkedin.com/company/usconsfrankfurt/")</f>
        <v>https://www.linkedin.com/company/usconsfrankfurt/</v>
      </c>
    </row>
    <row r="706">
      <c r="A706" s="59" t="str">
        <f>IFERROR(__xludf.DUMMYFUNCTION("""COMPUTED_VALUE"""),"EUR")</f>
        <v>EUR</v>
      </c>
      <c r="B706" s="59" t="str">
        <f>IFERROR(__xludf.DUMMYFUNCTION("""COMPUTED_VALUE"""),"Germany")</f>
        <v>Germany</v>
      </c>
      <c r="C706" s="59" t="str">
        <f>IFERROR(__xludf.DUMMYFUNCTION("""COMPUTED_VALUE"""),"U.S. Consulate General Frankfurt")</f>
        <v>U.S. Consulate General Frankfurt</v>
      </c>
      <c r="D706" s="59" t="str">
        <f>IFERROR(__xludf.DUMMYFUNCTION("""COMPUTED_VALUE"""),"X")</f>
        <v>X</v>
      </c>
      <c r="E706" s="60" t="str">
        <f>IFERROR(__xludf.DUMMYFUNCTION("""COMPUTED_VALUE"""),"https://x.com/usconsfrankfurt")</f>
        <v>https://x.com/usconsfrankfurt</v>
      </c>
    </row>
    <row r="707">
      <c r="A707" s="59" t="str">
        <f>IFERROR(__xludf.DUMMYFUNCTION("""COMPUTED_VALUE"""),"EUR")</f>
        <v>EUR</v>
      </c>
      <c r="B707" s="59" t="str">
        <f>IFERROR(__xludf.DUMMYFUNCTION("""COMPUTED_VALUE"""),"Germany")</f>
        <v>Germany</v>
      </c>
      <c r="C707" s="59" t="str">
        <f>IFERROR(__xludf.DUMMYFUNCTION("""COMPUTED_VALUE"""),"U.S. Consulate General Frankfurt")</f>
        <v>U.S. Consulate General Frankfurt</v>
      </c>
      <c r="D707" s="59" t="str">
        <f>IFERROR(__xludf.DUMMYFUNCTION("""COMPUTED_VALUE"""),"YouTube")</f>
        <v>YouTube</v>
      </c>
      <c r="E707" s="60" t="str">
        <f>IFERROR(__xludf.DUMMYFUNCTION("""COMPUTED_VALUE"""),"https://www.youtube.com/user/FrankfurtUSConsulate")</f>
        <v>https://www.youtube.com/user/FrankfurtUSConsulate</v>
      </c>
    </row>
    <row r="708">
      <c r="A708" s="59" t="str">
        <f>IFERROR(__xludf.DUMMYFUNCTION("""COMPUTED_VALUE"""),"EUR")</f>
        <v>EUR</v>
      </c>
      <c r="B708" s="59" t="str">
        <f>IFERROR(__xludf.DUMMYFUNCTION("""COMPUTED_VALUE"""),"Germany")</f>
        <v>Germany</v>
      </c>
      <c r="C708" s="59" t="str">
        <f>IFERROR(__xludf.DUMMYFUNCTION("""COMPUTED_VALUE"""),"U.S. Consulate General Hamburg")</f>
        <v>U.S. Consulate General Hamburg</v>
      </c>
      <c r="D708" s="59" t="str">
        <f>IFERROR(__xludf.DUMMYFUNCTION("""COMPUTED_VALUE"""),"Facebook")</f>
        <v>Facebook</v>
      </c>
      <c r="E708" s="60" t="str">
        <f>IFERROR(__xludf.DUMMYFUNCTION("""COMPUTED_VALUE"""),"https://www.facebook.com/USConsulateHamburg/")</f>
        <v>https://www.facebook.com/USConsulateHamburg/</v>
      </c>
    </row>
    <row r="709">
      <c r="A709" s="59" t="str">
        <f>IFERROR(__xludf.DUMMYFUNCTION("""COMPUTED_VALUE"""),"EUR")</f>
        <v>EUR</v>
      </c>
      <c r="B709" s="59" t="str">
        <f>IFERROR(__xludf.DUMMYFUNCTION("""COMPUTED_VALUE"""),"Germany")</f>
        <v>Germany</v>
      </c>
      <c r="C709" s="59" t="str">
        <f>IFERROR(__xludf.DUMMYFUNCTION("""COMPUTED_VALUE"""),"U.S. Consulate General Hamburg")</f>
        <v>U.S. Consulate General Hamburg</v>
      </c>
      <c r="D709" s="59" t="str">
        <f>IFERROR(__xludf.DUMMYFUNCTION("""COMPUTED_VALUE"""),"Instagram")</f>
        <v>Instagram</v>
      </c>
      <c r="E709" s="60" t="str">
        <f>IFERROR(__xludf.DUMMYFUNCTION("""COMPUTED_VALUE"""),"https://www.instagram.com/usconshamburg/")</f>
        <v>https://www.instagram.com/usconshamburg/</v>
      </c>
    </row>
    <row r="710">
      <c r="A710" s="59" t="str">
        <f>IFERROR(__xludf.DUMMYFUNCTION("""COMPUTED_VALUE"""),"EUR")</f>
        <v>EUR</v>
      </c>
      <c r="B710" s="59" t="str">
        <f>IFERROR(__xludf.DUMMYFUNCTION("""COMPUTED_VALUE"""),"Germany")</f>
        <v>Germany</v>
      </c>
      <c r="C710" s="59" t="str">
        <f>IFERROR(__xludf.DUMMYFUNCTION("""COMPUTED_VALUE"""),"U.S. Consulate General Hamburg")</f>
        <v>U.S. Consulate General Hamburg</v>
      </c>
      <c r="D710" s="59" t="str">
        <f>IFERROR(__xludf.DUMMYFUNCTION("""COMPUTED_VALUE"""),"X")</f>
        <v>X</v>
      </c>
      <c r="E710" s="60" t="str">
        <f>IFERROR(__xludf.DUMMYFUNCTION("""COMPUTED_VALUE"""),"https://x.com/usconshamburg")</f>
        <v>https://x.com/usconshamburg</v>
      </c>
    </row>
    <row r="711">
      <c r="A711" s="59" t="str">
        <f>IFERROR(__xludf.DUMMYFUNCTION("""COMPUTED_VALUE"""),"EUR")</f>
        <v>EUR</v>
      </c>
      <c r="B711" s="59" t="str">
        <f>IFERROR(__xludf.DUMMYFUNCTION("""COMPUTED_VALUE"""),"Germany")</f>
        <v>Germany</v>
      </c>
      <c r="C711" s="59" t="str">
        <f>IFERROR(__xludf.DUMMYFUNCTION("""COMPUTED_VALUE"""),"U.S. Consulate General Hamburg")</f>
        <v>U.S. Consulate General Hamburg</v>
      </c>
      <c r="D711" s="59" t="str">
        <f>IFERROR(__xludf.DUMMYFUNCTION("""COMPUTED_VALUE"""),"LinkedIn")</f>
        <v>LinkedIn</v>
      </c>
      <c r="E711" s="60" t="str">
        <f>IFERROR(__xludf.DUMMYFUNCTION("""COMPUTED_VALUE"""),"https://www.linkedin.com/in/u-s-consulate-general-hamburg-456a69219/")</f>
        <v>https://www.linkedin.com/in/u-s-consulate-general-hamburg-456a69219/</v>
      </c>
    </row>
    <row r="712">
      <c r="A712" s="59" t="str">
        <f>IFERROR(__xludf.DUMMYFUNCTION("""COMPUTED_VALUE"""),"EUR")</f>
        <v>EUR</v>
      </c>
      <c r="B712" s="59" t="str">
        <f>IFERROR(__xludf.DUMMYFUNCTION("""COMPUTED_VALUE"""),"Germany")</f>
        <v>Germany</v>
      </c>
      <c r="C712" s="59" t="str">
        <f>IFERROR(__xludf.DUMMYFUNCTION("""COMPUTED_VALUE"""),"U.S. Consulate General Hamburg")</f>
        <v>U.S. Consulate General Hamburg</v>
      </c>
      <c r="D712" s="59" t="str">
        <f>IFERROR(__xludf.DUMMYFUNCTION("""COMPUTED_VALUE"""),"YouTube")</f>
        <v>YouTube</v>
      </c>
      <c r="E712" s="60" t="str">
        <f>IFERROR(__xludf.DUMMYFUNCTION("""COMPUTED_VALUE"""),"youtube.com/user/USConsGenHamburg")</f>
        <v>youtube.com/user/USConsGenHamburg</v>
      </c>
    </row>
    <row r="713">
      <c r="A713" s="59" t="str">
        <f>IFERROR(__xludf.DUMMYFUNCTION("""COMPUTED_VALUE"""),"EUR")</f>
        <v>EUR</v>
      </c>
      <c r="B713" s="59" t="str">
        <f>IFERROR(__xludf.DUMMYFUNCTION("""COMPUTED_VALUE"""),"Germany")</f>
        <v>Germany</v>
      </c>
      <c r="C713" s="59" t="str">
        <f>IFERROR(__xludf.DUMMYFUNCTION("""COMPUTED_VALUE"""),"U.S. Consulate General Leipzig")</f>
        <v>U.S. Consulate General Leipzig</v>
      </c>
      <c r="D713" s="59" t="str">
        <f>IFERROR(__xludf.DUMMYFUNCTION("""COMPUTED_VALUE"""),"Facebook")</f>
        <v>Facebook</v>
      </c>
      <c r="E713" s="60" t="str">
        <f>IFERROR(__xludf.DUMMYFUNCTION("""COMPUTED_VALUE"""),"https://www.facebook.com/USConGenLeipzig/")</f>
        <v>https://www.facebook.com/USConGenLeipzig/</v>
      </c>
    </row>
    <row r="714">
      <c r="A714" s="59" t="str">
        <f>IFERROR(__xludf.DUMMYFUNCTION("""COMPUTED_VALUE"""),"EUR")</f>
        <v>EUR</v>
      </c>
      <c r="B714" s="59" t="str">
        <f>IFERROR(__xludf.DUMMYFUNCTION("""COMPUTED_VALUE"""),"Germany")</f>
        <v>Germany</v>
      </c>
      <c r="C714" s="59" t="str">
        <f>IFERROR(__xludf.DUMMYFUNCTION("""COMPUTED_VALUE"""),"U.S. Consulate General Leipzig")</f>
        <v>U.S. Consulate General Leipzig</v>
      </c>
      <c r="D714" s="59" t="str">
        <f>IFERROR(__xludf.DUMMYFUNCTION("""COMPUTED_VALUE"""),"Instagram")</f>
        <v>Instagram</v>
      </c>
      <c r="E714" s="60" t="str">
        <f>IFERROR(__xludf.DUMMYFUNCTION("""COMPUTED_VALUE"""),"https://www.instagram.com/usconsleipzig/")</f>
        <v>https://www.instagram.com/usconsleipzig/</v>
      </c>
    </row>
    <row r="715">
      <c r="A715" s="59" t="str">
        <f>IFERROR(__xludf.DUMMYFUNCTION("""COMPUTED_VALUE"""),"EUR")</f>
        <v>EUR</v>
      </c>
      <c r="B715" s="59" t="str">
        <f>IFERROR(__xludf.DUMMYFUNCTION("""COMPUTED_VALUE"""),"Germany")</f>
        <v>Germany</v>
      </c>
      <c r="C715" s="59" t="str">
        <f>IFERROR(__xludf.DUMMYFUNCTION("""COMPUTED_VALUE"""),"U.S. Consulate General Leipzig")</f>
        <v>U.S. Consulate General Leipzig</v>
      </c>
      <c r="D715" s="59" t="str">
        <f>IFERROR(__xludf.DUMMYFUNCTION("""COMPUTED_VALUE"""),"X")</f>
        <v>X</v>
      </c>
      <c r="E715" s="60" t="str">
        <f>IFERROR(__xludf.DUMMYFUNCTION("""COMPUTED_VALUE"""),"https://x.com/USConsLeipzig")</f>
        <v>https://x.com/USConsLeipzig</v>
      </c>
    </row>
    <row r="716">
      <c r="A716" s="59" t="str">
        <f>IFERROR(__xludf.DUMMYFUNCTION("""COMPUTED_VALUE"""),"EUR")</f>
        <v>EUR</v>
      </c>
      <c r="B716" s="59" t="str">
        <f>IFERROR(__xludf.DUMMYFUNCTION("""COMPUTED_VALUE"""),"Germany")</f>
        <v>Germany</v>
      </c>
      <c r="C716" s="59" t="str">
        <f>IFERROR(__xludf.DUMMYFUNCTION("""COMPUTED_VALUE"""),"U.S. Consulate General Munich")</f>
        <v>U.S. Consulate General Munich</v>
      </c>
      <c r="D716" s="59" t="str">
        <f>IFERROR(__xludf.DUMMYFUNCTION("""COMPUTED_VALUE"""),"Facebook")</f>
        <v>Facebook</v>
      </c>
      <c r="E716" s="60" t="str">
        <f>IFERROR(__xludf.DUMMYFUNCTION("""COMPUTED_VALUE"""),"https://www.facebook.com/usconsulatemunich/")</f>
        <v>https://www.facebook.com/usconsulatemunich/</v>
      </c>
    </row>
    <row r="717">
      <c r="A717" s="59" t="str">
        <f>IFERROR(__xludf.DUMMYFUNCTION("""COMPUTED_VALUE"""),"EUR")</f>
        <v>EUR</v>
      </c>
      <c r="B717" s="59" t="str">
        <f>IFERROR(__xludf.DUMMYFUNCTION("""COMPUTED_VALUE"""),"Germany")</f>
        <v>Germany</v>
      </c>
      <c r="C717" s="59" t="str">
        <f>IFERROR(__xludf.DUMMYFUNCTION("""COMPUTED_VALUE"""),"U.S. Consulate General Munich")</f>
        <v>U.S. Consulate General Munich</v>
      </c>
      <c r="D717" s="59" t="str">
        <f>IFERROR(__xludf.DUMMYFUNCTION("""COMPUTED_VALUE"""),"Instagram")</f>
        <v>Instagram</v>
      </c>
      <c r="E717" s="60" t="str">
        <f>IFERROR(__xludf.DUMMYFUNCTION("""COMPUTED_VALUE"""),"https://www.instagram.com/usconsmunich")</f>
        <v>https://www.instagram.com/usconsmunich</v>
      </c>
    </row>
    <row r="718">
      <c r="A718" s="59" t="str">
        <f>IFERROR(__xludf.DUMMYFUNCTION("""COMPUTED_VALUE"""),"EUR")</f>
        <v>EUR</v>
      </c>
      <c r="B718" s="59" t="str">
        <f>IFERROR(__xludf.DUMMYFUNCTION("""COMPUTED_VALUE"""),"Germany")</f>
        <v>Germany</v>
      </c>
      <c r="C718" s="59" t="str">
        <f>IFERROR(__xludf.DUMMYFUNCTION("""COMPUTED_VALUE"""),"U.S. Consulate General Munich")</f>
        <v>U.S. Consulate General Munich</v>
      </c>
      <c r="D718" s="59" t="str">
        <f>IFERROR(__xludf.DUMMYFUNCTION("""COMPUTED_VALUE"""),"X")</f>
        <v>X</v>
      </c>
      <c r="E718" s="60" t="str">
        <f>IFERROR(__xludf.DUMMYFUNCTION("""COMPUTED_VALUE"""),"https://x.com/usconsmunich")</f>
        <v>https://x.com/usconsmunich</v>
      </c>
    </row>
    <row r="719">
      <c r="A719" s="59" t="str">
        <f>IFERROR(__xludf.DUMMYFUNCTION("""COMPUTED_VALUE"""),"EUR")</f>
        <v>EUR</v>
      </c>
      <c r="B719" s="59" t="str">
        <f>IFERROR(__xludf.DUMMYFUNCTION("""COMPUTED_VALUE"""),"Germany")</f>
        <v>Germany</v>
      </c>
      <c r="C719" s="59" t="str">
        <f>IFERROR(__xludf.DUMMYFUNCTION("""COMPUTED_VALUE"""),"U.S. Consulate General Munich")</f>
        <v>U.S. Consulate General Munich</v>
      </c>
      <c r="D719" s="59" t="str">
        <f>IFERROR(__xludf.DUMMYFUNCTION("""COMPUTED_VALUE"""),"YouTube")</f>
        <v>YouTube</v>
      </c>
      <c r="E719" s="60" t="str">
        <f>IFERROR(__xludf.DUMMYFUNCTION("""COMPUTED_VALUE"""),"https://www.youtube.com/user/usconsmunich")</f>
        <v>https://www.youtube.com/user/usconsmunich</v>
      </c>
    </row>
    <row r="720">
      <c r="A720" s="59" t="str">
        <f>IFERROR(__xludf.DUMMYFUNCTION("""COMPUTED_VALUE"""),"EUR")</f>
        <v>EUR</v>
      </c>
      <c r="B720" s="59" t="str">
        <f>IFERROR(__xludf.DUMMYFUNCTION("""COMPUTED_VALUE"""),"Germany")</f>
        <v>Germany</v>
      </c>
      <c r="C720" s="59" t="str">
        <f>IFERROR(__xludf.DUMMYFUNCTION("""COMPUTED_VALUE"""),"U.S. Embassy Berlin")</f>
        <v>U.S. Embassy Berlin</v>
      </c>
      <c r="D720" s="59" t="str">
        <f>IFERROR(__xludf.DUMMYFUNCTION("""COMPUTED_VALUE"""),"Facebook")</f>
        <v>Facebook</v>
      </c>
      <c r="E720" s="60" t="str">
        <f>IFERROR(__xludf.DUMMYFUNCTION("""COMPUTED_VALUE"""),"https://www.facebook.com/usbotschaftberlin/")</f>
        <v>https://www.facebook.com/usbotschaftberlin/</v>
      </c>
    </row>
    <row r="721">
      <c r="A721" s="59" t="str">
        <f>IFERROR(__xludf.DUMMYFUNCTION("""COMPUTED_VALUE"""),"EUR")</f>
        <v>EUR</v>
      </c>
      <c r="B721" s="59" t="str">
        <f>IFERROR(__xludf.DUMMYFUNCTION("""COMPUTED_VALUE"""),"Germany")</f>
        <v>Germany</v>
      </c>
      <c r="C721" s="59" t="str">
        <f>IFERROR(__xludf.DUMMYFUNCTION("""COMPUTED_VALUE"""),"U.S. Embassy Berlin")</f>
        <v>U.S. Embassy Berlin</v>
      </c>
      <c r="D721" s="59" t="str">
        <f>IFERROR(__xludf.DUMMYFUNCTION("""COMPUTED_VALUE"""),"Instagram")</f>
        <v>Instagram</v>
      </c>
      <c r="E721" s="60" t="str">
        <f>IFERROR(__xludf.DUMMYFUNCTION("""COMPUTED_VALUE"""),"https://www.instagram.com/usbotschaft")</f>
        <v>https://www.instagram.com/usbotschaft</v>
      </c>
    </row>
    <row r="722">
      <c r="A722" s="59" t="str">
        <f>IFERROR(__xludf.DUMMYFUNCTION("""COMPUTED_VALUE"""),"EUR")</f>
        <v>EUR</v>
      </c>
      <c r="B722" s="59" t="str">
        <f>IFERROR(__xludf.DUMMYFUNCTION("""COMPUTED_VALUE"""),"Germany")</f>
        <v>Germany</v>
      </c>
      <c r="C722" s="59" t="str">
        <f>IFERROR(__xludf.DUMMYFUNCTION("""COMPUTED_VALUE"""),"U.S. Embassy Berlin")</f>
        <v>U.S. Embassy Berlin</v>
      </c>
      <c r="D722" s="59" t="str">
        <f>IFERROR(__xludf.DUMMYFUNCTION("""COMPUTED_VALUE"""),"LinkedIn")</f>
        <v>LinkedIn</v>
      </c>
      <c r="E722" s="60" t="str">
        <f>IFERROR(__xludf.DUMMYFUNCTION("""COMPUTED_VALUE"""),"https://www.linkedin.com/company/u-s-mission-germany-human-resource-recruitment/")</f>
        <v>https://www.linkedin.com/company/u-s-mission-germany-human-resource-recruitment/</v>
      </c>
    </row>
    <row r="723">
      <c r="A723" s="59" t="str">
        <f>IFERROR(__xludf.DUMMYFUNCTION("""COMPUTED_VALUE"""),"EUR")</f>
        <v>EUR</v>
      </c>
      <c r="B723" s="59" t="str">
        <f>IFERROR(__xludf.DUMMYFUNCTION("""COMPUTED_VALUE"""),"Germany")</f>
        <v>Germany</v>
      </c>
      <c r="C723" s="59" t="str">
        <f>IFERROR(__xludf.DUMMYFUNCTION("""COMPUTED_VALUE"""),"U.S. Embassy Berlin")</f>
        <v>U.S. Embassy Berlin</v>
      </c>
      <c r="D723" s="59" t="str">
        <f>IFERROR(__xludf.DUMMYFUNCTION("""COMPUTED_VALUE"""),"X")</f>
        <v>X</v>
      </c>
      <c r="E723" s="60" t="str">
        <f>IFERROR(__xludf.DUMMYFUNCTION("""COMPUTED_VALUE"""),"https://x.com/usbotschaft")</f>
        <v>https://x.com/usbotschaft</v>
      </c>
    </row>
    <row r="724">
      <c r="A724" s="59" t="str">
        <f>IFERROR(__xludf.DUMMYFUNCTION("""COMPUTED_VALUE"""),"EUR")</f>
        <v>EUR</v>
      </c>
      <c r="B724" s="59" t="str">
        <f>IFERROR(__xludf.DUMMYFUNCTION("""COMPUTED_VALUE"""),"Germany")</f>
        <v>Germany</v>
      </c>
      <c r="C724" s="59" t="str">
        <f>IFERROR(__xludf.DUMMYFUNCTION("""COMPUTED_VALUE"""),"U.S. Embassy Berlin")</f>
        <v>U.S. Embassy Berlin</v>
      </c>
      <c r="D724" s="59" t="str">
        <f>IFERROR(__xludf.DUMMYFUNCTION("""COMPUTED_VALUE"""),"YouTube")</f>
        <v>YouTube</v>
      </c>
      <c r="E724" s="60" t="str">
        <f>IFERROR(__xludf.DUMMYFUNCTION("""COMPUTED_VALUE"""),"https://www.youtube.com/usbotschaft")</f>
        <v>https://www.youtube.com/usbotschaft</v>
      </c>
    </row>
    <row r="725">
      <c r="A725" s="59" t="str">
        <f>IFERROR(__xludf.DUMMYFUNCTION("""COMPUTED_VALUE"""),"EUR")</f>
        <v>EUR</v>
      </c>
      <c r="B725" s="59" t="str">
        <f>IFERROR(__xludf.DUMMYFUNCTION("""COMPUTED_VALUE"""),"Greece")</f>
        <v>Greece</v>
      </c>
      <c r="C725" s="59" t="str">
        <f>IFERROR(__xludf.DUMMYFUNCTION("""COMPUTED_VALUE"""),"U.S. Ambassador to Greece")</f>
        <v>U.S. Ambassador to Greece</v>
      </c>
      <c r="D725" s="59" t="str">
        <f>IFERROR(__xludf.DUMMYFUNCTION("""COMPUTED_VALUE"""),"X")</f>
        <v>X</v>
      </c>
      <c r="E725" s="60" t="str">
        <f>IFERROR(__xludf.DUMMYFUNCTION("""COMPUTED_VALUE"""),"https://x.com/USAmbassadorGR")</f>
        <v>https://x.com/USAmbassadorGR</v>
      </c>
    </row>
    <row r="726">
      <c r="A726" s="59" t="str">
        <f>IFERROR(__xludf.DUMMYFUNCTION("""COMPUTED_VALUE"""),"EUR")</f>
        <v>EUR</v>
      </c>
      <c r="B726" s="59" t="str">
        <f>IFERROR(__xludf.DUMMYFUNCTION("""COMPUTED_VALUE"""),"Greece")</f>
        <v>Greece</v>
      </c>
      <c r="C726" s="59" t="str">
        <f>IFERROR(__xludf.DUMMYFUNCTION("""COMPUTED_VALUE"""),"U.S. Embassy Athens")</f>
        <v>U.S. Embassy Athens</v>
      </c>
      <c r="D726" s="59" t="str">
        <f>IFERROR(__xludf.DUMMYFUNCTION("""COMPUTED_VALUE"""),"Facebook")</f>
        <v>Facebook</v>
      </c>
      <c r="E726" s="60" t="str">
        <f>IFERROR(__xludf.DUMMYFUNCTION("""COMPUTED_VALUE"""),"https://www.facebook.com/USEmbassyAthens/")</f>
        <v>https://www.facebook.com/USEmbassyAthens/</v>
      </c>
    </row>
    <row r="727">
      <c r="A727" s="59" t="str">
        <f>IFERROR(__xludf.DUMMYFUNCTION("""COMPUTED_VALUE"""),"EUR")</f>
        <v>EUR</v>
      </c>
      <c r="B727" s="59" t="str">
        <f>IFERROR(__xludf.DUMMYFUNCTION("""COMPUTED_VALUE"""),"Greece")</f>
        <v>Greece</v>
      </c>
      <c r="C727" s="59" t="str">
        <f>IFERROR(__xludf.DUMMYFUNCTION("""COMPUTED_VALUE"""),"U.S. Embassy Athens")</f>
        <v>U.S. Embassy Athens</v>
      </c>
      <c r="D727" s="59" t="str">
        <f>IFERROR(__xludf.DUMMYFUNCTION("""COMPUTED_VALUE"""),"Instagram")</f>
        <v>Instagram</v>
      </c>
      <c r="E727" s="60" t="str">
        <f>IFERROR(__xludf.DUMMYFUNCTION("""COMPUTED_VALUE"""),"https://www.instagram.com/usembassyathens/")</f>
        <v>https://www.instagram.com/usembassyathens/</v>
      </c>
    </row>
    <row r="728">
      <c r="A728" s="59" t="str">
        <f>IFERROR(__xludf.DUMMYFUNCTION("""COMPUTED_VALUE"""),"EUR")</f>
        <v>EUR</v>
      </c>
      <c r="B728" s="59" t="str">
        <f>IFERROR(__xludf.DUMMYFUNCTION("""COMPUTED_VALUE"""),"Greece")</f>
        <v>Greece</v>
      </c>
      <c r="C728" s="59" t="str">
        <f>IFERROR(__xludf.DUMMYFUNCTION("""COMPUTED_VALUE"""),"U.S. Embassy Athens")</f>
        <v>U.S. Embassy Athens</v>
      </c>
      <c r="D728" s="59" t="str">
        <f>IFERROR(__xludf.DUMMYFUNCTION("""COMPUTED_VALUE"""),"X")</f>
        <v>X</v>
      </c>
      <c r="E728" s="60" t="str">
        <f>IFERROR(__xludf.DUMMYFUNCTION("""COMPUTED_VALUE"""),"https://x.com/USEmbassyAthens")</f>
        <v>https://x.com/USEmbassyAthens</v>
      </c>
    </row>
    <row r="729">
      <c r="A729" s="59" t="str">
        <f>IFERROR(__xludf.DUMMYFUNCTION("""COMPUTED_VALUE"""),"EUR")</f>
        <v>EUR</v>
      </c>
      <c r="B729" s="59" t="str">
        <f>IFERROR(__xludf.DUMMYFUNCTION("""COMPUTED_VALUE"""),"Greece")</f>
        <v>Greece</v>
      </c>
      <c r="C729" s="59" t="str">
        <f>IFERROR(__xludf.DUMMYFUNCTION("""COMPUTED_VALUE"""),"U.S. Embassy Athens")</f>
        <v>U.S. Embassy Athens</v>
      </c>
      <c r="D729" s="59" t="str">
        <f>IFERROR(__xludf.DUMMYFUNCTION("""COMPUTED_VALUE"""),"YouTube")</f>
        <v>YouTube</v>
      </c>
      <c r="E729" s="60" t="str">
        <f>IFERROR(__xludf.DUMMYFUNCTION("""COMPUTED_VALUE"""),"https://www.youtube.com/MosaikoGR")</f>
        <v>https://www.youtube.com/MosaikoGR</v>
      </c>
    </row>
    <row r="730">
      <c r="A730" s="59" t="str">
        <f>IFERROR(__xludf.DUMMYFUNCTION("""COMPUTED_VALUE"""),"EUR")</f>
        <v>EUR</v>
      </c>
      <c r="B730" s="59" t="str">
        <f>IFERROR(__xludf.DUMMYFUNCTION("""COMPUTED_VALUE"""),"Greece")</f>
        <v>Greece</v>
      </c>
      <c r="C730" s="59" t="str">
        <f>IFERROR(__xludf.DUMMYFUNCTION("""COMPUTED_VALUE"""),"Consular Section - U.S. Embassy Athens")</f>
        <v>Consular Section - U.S. Embassy Athens</v>
      </c>
      <c r="D730" s="59" t="str">
        <f>IFERROR(__xludf.DUMMYFUNCTION("""COMPUTED_VALUE"""),"Facebook")</f>
        <v>Facebook</v>
      </c>
      <c r="E730" s="60" t="str">
        <f>IFERROR(__xludf.DUMMYFUNCTION("""COMPUTED_VALUE"""),"facebook.com/ConsularSectionUSEmbassyAthens")</f>
        <v>facebook.com/ConsularSectionUSEmbassyAthens</v>
      </c>
    </row>
    <row r="731">
      <c r="A731" s="59" t="str">
        <f>IFERROR(__xludf.DUMMYFUNCTION("""COMPUTED_VALUE"""),"EUR")</f>
        <v>EUR</v>
      </c>
      <c r="B731" s="59" t="str">
        <f>IFERROR(__xludf.DUMMYFUNCTION("""COMPUTED_VALUE"""),"Greece")</f>
        <v>Greece</v>
      </c>
      <c r="C731" s="59" t="str">
        <f>IFERROR(__xludf.DUMMYFUNCTION("""COMPUTED_VALUE"""),"U.S. Consulate General Thessaloniki")</f>
        <v>U.S. Consulate General Thessaloniki</v>
      </c>
      <c r="D731" s="59" t="str">
        <f>IFERROR(__xludf.DUMMYFUNCTION("""COMPUTED_VALUE"""),"Facebook")</f>
        <v>Facebook</v>
      </c>
      <c r="E731" s="60" t="str">
        <f>IFERROR(__xludf.DUMMYFUNCTION("""COMPUTED_VALUE"""),"https://www.facebook.com/thessaloniki.usconsulate/")</f>
        <v>https://www.facebook.com/thessaloniki.usconsulate/</v>
      </c>
    </row>
    <row r="732">
      <c r="A732" s="59" t="str">
        <f>IFERROR(__xludf.DUMMYFUNCTION("""COMPUTED_VALUE"""),"EUR")</f>
        <v>EUR</v>
      </c>
      <c r="B732" s="59" t="str">
        <f>IFERROR(__xludf.DUMMYFUNCTION("""COMPUTED_VALUE"""),"Greece")</f>
        <v>Greece</v>
      </c>
      <c r="C732" s="59" t="str">
        <f>IFERROR(__xludf.DUMMYFUNCTION("""COMPUTED_VALUE"""),"U.S. Consulate General Thessaloniki")</f>
        <v>U.S. Consulate General Thessaloniki</v>
      </c>
      <c r="D732" s="59" t="str">
        <f>IFERROR(__xludf.DUMMYFUNCTION("""COMPUTED_VALUE"""),"X")</f>
        <v>X</v>
      </c>
      <c r="E732" s="60" t="str">
        <f>IFERROR(__xludf.DUMMYFUNCTION("""COMPUTED_VALUE"""),"https://x.com/USConsulateThes")</f>
        <v>https://x.com/USConsulateThes</v>
      </c>
    </row>
    <row r="733">
      <c r="A733" s="59" t="str">
        <f>IFERROR(__xludf.DUMMYFUNCTION("""COMPUTED_VALUE"""),"EUR")</f>
        <v>EUR</v>
      </c>
      <c r="B733" s="59" t="str">
        <f>IFERROR(__xludf.DUMMYFUNCTION("""COMPUTED_VALUE"""),"Greenland")</f>
        <v>Greenland</v>
      </c>
      <c r="C733" s="59" t="str">
        <f>IFERROR(__xludf.DUMMYFUNCTION("""COMPUTED_VALUE"""),"U.S. Consulate General Nuuk")</f>
        <v>U.S. Consulate General Nuuk</v>
      </c>
      <c r="D733" s="59" t="str">
        <f>IFERROR(__xludf.DUMMYFUNCTION("""COMPUTED_VALUE"""),"Facebook")</f>
        <v>Facebook</v>
      </c>
      <c r="E733" s="60" t="str">
        <f>IFERROR(__xludf.DUMMYFUNCTION("""COMPUTED_VALUE"""),"https://www.facebook.com/usconsulatenuuk/")</f>
        <v>https://www.facebook.com/usconsulatenuuk/</v>
      </c>
    </row>
    <row r="734">
      <c r="A734" s="59" t="str">
        <f>IFERROR(__xludf.DUMMYFUNCTION("""COMPUTED_VALUE"""),"EUR")</f>
        <v>EUR</v>
      </c>
      <c r="B734" s="59" t="str">
        <f>IFERROR(__xludf.DUMMYFUNCTION("""COMPUTED_VALUE"""),"Greenland")</f>
        <v>Greenland</v>
      </c>
      <c r="C734" s="59" t="str">
        <f>IFERROR(__xludf.DUMMYFUNCTION("""COMPUTED_VALUE"""),"U.S. Consulate General Nuuk")</f>
        <v>U.S. Consulate General Nuuk</v>
      </c>
      <c r="D734" s="59" t="str">
        <f>IFERROR(__xludf.DUMMYFUNCTION("""COMPUTED_VALUE"""),"Instagram")</f>
        <v>Instagram</v>
      </c>
      <c r="E734" s="60" t="str">
        <f>IFERROR(__xludf.DUMMYFUNCTION("""COMPUTED_VALUE"""),"https://www.instagram.com/usconsulatenuuk/")</f>
        <v>https://www.instagram.com/usconsulatenuuk/</v>
      </c>
    </row>
    <row r="735">
      <c r="A735" s="59" t="str">
        <f>IFERROR(__xludf.DUMMYFUNCTION("""COMPUTED_VALUE"""),"EUR")</f>
        <v>EUR</v>
      </c>
      <c r="B735" s="59" t="str">
        <f>IFERROR(__xludf.DUMMYFUNCTION("""COMPUTED_VALUE"""),"Hungary")</f>
        <v>Hungary</v>
      </c>
      <c r="C735" s="59" t="str">
        <f>IFERROR(__xludf.DUMMYFUNCTION("""COMPUTED_VALUE"""),"U.S. Ambassador to Hungary")</f>
        <v>U.S. Ambassador to Hungary</v>
      </c>
      <c r="D735" s="59" t="str">
        <f>IFERROR(__xludf.DUMMYFUNCTION("""COMPUTED_VALUE"""),"X")</f>
        <v>X</v>
      </c>
      <c r="E735" s="60" t="str">
        <f>IFERROR(__xludf.DUMMYFUNCTION("""COMPUTED_VALUE"""),"https://x.com/USAmbHungary")</f>
        <v>https://x.com/USAmbHungary</v>
      </c>
    </row>
    <row r="736">
      <c r="A736" s="59" t="str">
        <f>IFERROR(__xludf.DUMMYFUNCTION("""COMPUTED_VALUE"""),"EUR")</f>
        <v>EUR</v>
      </c>
      <c r="B736" s="59" t="str">
        <f>IFERROR(__xludf.DUMMYFUNCTION("""COMPUTED_VALUE"""),"Hungary")</f>
        <v>Hungary</v>
      </c>
      <c r="C736" s="59" t="str">
        <f>IFERROR(__xludf.DUMMYFUNCTION("""COMPUTED_VALUE"""),"U.S. Embassy Budapest")</f>
        <v>U.S. Embassy Budapest</v>
      </c>
      <c r="D736" s="59" t="str">
        <f>IFERROR(__xludf.DUMMYFUNCTION("""COMPUTED_VALUE"""),"Facebook")</f>
        <v>Facebook</v>
      </c>
      <c r="E736" s="60" t="str">
        <f>IFERROR(__xludf.DUMMYFUNCTION("""COMPUTED_VALUE"""),"facebook.com/hungary.usembassy")</f>
        <v>facebook.com/hungary.usembassy</v>
      </c>
    </row>
    <row r="737">
      <c r="A737" s="59" t="str">
        <f>IFERROR(__xludf.DUMMYFUNCTION("""COMPUTED_VALUE"""),"EUR")</f>
        <v>EUR</v>
      </c>
      <c r="B737" s="59" t="str">
        <f>IFERROR(__xludf.DUMMYFUNCTION("""COMPUTED_VALUE"""),"Hungary")</f>
        <v>Hungary</v>
      </c>
      <c r="C737" s="59" t="str">
        <f>IFERROR(__xludf.DUMMYFUNCTION("""COMPUTED_VALUE"""),"U.S. Embassy Budapest")</f>
        <v>U.S. Embassy Budapest</v>
      </c>
      <c r="D737" s="59" t="str">
        <f>IFERROR(__xludf.DUMMYFUNCTION("""COMPUTED_VALUE"""),"Instagram")</f>
        <v>Instagram</v>
      </c>
      <c r="E737" s="60" t="str">
        <f>IFERROR(__xludf.DUMMYFUNCTION("""COMPUTED_VALUE"""),"https://www.instagram.com/usembhungary/")</f>
        <v>https://www.instagram.com/usembhungary/</v>
      </c>
    </row>
    <row r="738">
      <c r="A738" s="59" t="str">
        <f>IFERROR(__xludf.DUMMYFUNCTION("""COMPUTED_VALUE"""),"EUR")</f>
        <v>EUR</v>
      </c>
      <c r="B738" s="59" t="str">
        <f>IFERROR(__xludf.DUMMYFUNCTION("""COMPUTED_VALUE"""),"Hungary")</f>
        <v>Hungary</v>
      </c>
      <c r="C738" s="59" t="str">
        <f>IFERROR(__xludf.DUMMYFUNCTION("""COMPUTED_VALUE"""),"U.S. Embassy Budapest")</f>
        <v>U.S. Embassy Budapest</v>
      </c>
      <c r="D738" s="59" t="str">
        <f>IFERROR(__xludf.DUMMYFUNCTION("""COMPUTED_VALUE"""),"X")</f>
        <v>X</v>
      </c>
      <c r="E738" s="60" t="str">
        <f>IFERROR(__xludf.DUMMYFUNCTION("""COMPUTED_VALUE"""),"https://x.com/usembbudapest")</f>
        <v>https://x.com/usembbudapest</v>
      </c>
    </row>
    <row r="739">
      <c r="A739" s="59" t="str">
        <f>IFERROR(__xludf.DUMMYFUNCTION("""COMPUTED_VALUE"""),"EUR")</f>
        <v>EUR</v>
      </c>
      <c r="B739" s="59" t="str">
        <f>IFERROR(__xludf.DUMMYFUNCTION("""COMPUTED_VALUE"""),"Hungary")</f>
        <v>Hungary</v>
      </c>
      <c r="C739" s="59" t="str">
        <f>IFERROR(__xludf.DUMMYFUNCTION("""COMPUTED_VALUE"""),"U.S. Embassy Budapest")</f>
        <v>U.S. Embassy Budapest</v>
      </c>
      <c r="D739" s="59" t="str">
        <f>IFERROR(__xludf.DUMMYFUNCTION("""COMPUTED_VALUE"""),"YouTube")</f>
        <v>YouTube</v>
      </c>
      <c r="E739" s="60" t="str">
        <f>IFERROR(__xludf.DUMMYFUNCTION("""COMPUTED_VALUE"""),"https://www.youtube.com/user/USEmbassyBudapest")</f>
        <v>https://www.youtube.com/user/USEmbassyBudapest</v>
      </c>
    </row>
    <row r="740">
      <c r="A740" s="59" t="str">
        <f>IFERROR(__xludf.DUMMYFUNCTION("""COMPUTED_VALUE"""),"EUR")</f>
        <v>EUR</v>
      </c>
      <c r="B740" s="59" t="str">
        <f>IFERROR(__xludf.DUMMYFUNCTION("""COMPUTED_VALUE"""),"Iceland")</f>
        <v>Iceland</v>
      </c>
      <c r="C740" s="59" t="str">
        <f>IFERROR(__xludf.DUMMYFUNCTION("""COMPUTED_VALUE"""),"U.S. Ambassador to Iceland")</f>
        <v>U.S. Ambassador to Iceland</v>
      </c>
      <c r="D740" s="59" t="str">
        <f>IFERROR(__xludf.DUMMYFUNCTION("""COMPUTED_VALUE"""),"X")</f>
        <v>X</v>
      </c>
      <c r="E740" s="60" t="str">
        <f>IFERROR(__xludf.DUMMYFUNCTION("""COMPUTED_VALUE"""),"https://x.com/USAmbIceland")</f>
        <v>https://x.com/USAmbIceland</v>
      </c>
    </row>
    <row r="741">
      <c r="A741" s="59" t="str">
        <f>IFERROR(__xludf.DUMMYFUNCTION("""COMPUTED_VALUE"""),"EUR")</f>
        <v>EUR</v>
      </c>
      <c r="B741" s="59" t="str">
        <f>IFERROR(__xludf.DUMMYFUNCTION("""COMPUTED_VALUE"""),"Iceland")</f>
        <v>Iceland</v>
      </c>
      <c r="C741" s="59" t="str">
        <f>IFERROR(__xludf.DUMMYFUNCTION("""COMPUTED_VALUE"""),"U.S. Embassy Reykjavik")</f>
        <v>U.S. Embassy Reykjavik</v>
      </c>
      <c r="D741" s="59" t="str">
        <f>IFERROR(__xludf.DUMMYFUNCTION("""COMPUTED_VALUE"""),"Facebook")</f>
        <v>Facebook</v>
      </c>
      <c r="E741" s="60" t="str">
        <f>IFERROR(__xludf.DUMMYFUNCTION("""COMPUTED_VALUE"""),"https://www.facebook.com/USEmbReykjavik/")</f>
        <v>https://www.facebook.com/USEmbReykjavik/</v>
      </c>
    </row>
    <row r="742">
      <c r="A742" s="59" t="str">
        <f>IFERROR(__xludf.DUMMYFUNCTION("""COMPUTED_VALUE"""),"EUR")</f>
        <v>EUR</v>
      </c>
      <c r="B742" s="59" t="str">
        <f>IFERROR(__xludf.DUMMYFUNCTION("""COMPUTED_VALUE"""),"Iceland")</f>
        <v>Iceland</v>
      </c>
      <c r="C742" s="59" t="str">
        <f>IFERROR(__xludf.DUMMYFUNCTION("""COMPUTED_VALUE"""),"U.S. Embassy Reykjavik")</f>
        <v>U.S. Embassy Reykjavik</v>
      </c>
      <c r="D742" s="59" t="str">
        <f>IFERROR(__xludf.DUMMYFUNCTION("""COMPUTED_VALUE"""),"Instagram")</f>
        <v>Instagram</v>
      </c>
      <c r="E742" s="60" t="str">
        <f>IFERROR(__xludf.DUMMYFUNCTION("""COMPUTED_VALUE"""),"https://www.instagram.com/usembreykjavik/")</f>
        <v>https://www.instagram.com/usembreykjavik/</v>
      </c>
    </row>
    <row r="743">
      <c r="A743" s="59" t="str">
        <f>IFERROR(__xludf.DUMMYFUNCTION("""COMPUTED_VALUE"""),"EUR")</f>
        <v>EUR</v>
      </c>
      <c r="B743" s="59" t="str">
        <f>IFERROR(__xludf.DUMMYFUNCTION("""COMPUTED_VALUE"""),"Iceland")</f>
        <v>Iceland</v>
      </c>
      <c r="C743" s="59" t="str">
        <f>IFERROR(__xludf.DUMMYFUNCTION("""COMPUTED_VALUE"""),"U.S. Embassy Reykjavik")</f>
        <v>U.S. Embassy Reykjavik</v>
      </c>
      <c r="D743" s="59" t="str">
        <f>IFERROR(__xludf.DUMMYFUNCTION("""COMPUTED_VALUE"""),"X")</f>
        <v>X</v>
      </c>
      <c r="E743" s="60" t="str">
        <f>IFERROR(__xludf.DUMMYFUNCTION("""COMPUTED_VALUE"""),"https://x.com/usembreykjavik")</f>
        <v>https://x.com/usembreykjavik</v>
      </c>
    </row>
    <row r="744">
      <c r="A744" s="59" t="str">
        <f>IFERROR(__xludf.DUMMYFUNCTION("""COMPUTED_VALUE"""),"EUR")</f>
        <v>EUR</v>
      </c>
      <c r="B744" s="59" t="str">
        <f>IFERROR(__xludf.DUMMYFUNCTION("""COMPUTED_VALUE"""),"Iceland")</f>
        <v>Iceland</v>
      </c>
      <c r="C744" s="59" t="str">
        <f>IFERROR(__xludf.DUMMYFUNCTION("""COMPUTED_VALUE"""),"U.S. Embassy Reykjavik")</f>
        <v>U.S. Embassy Reykjavik</v>
      </c>
      <c r="D744" s="59" t="str">
        <f>IFERROR(__xludf.DUMMYFUNCTION("""COMPUTED_VALUE"""),"YouTube")</f>
        <v>YouTube</v>
      </c>
      <c r="E744" s="60" t="str">
        <f>IFERROR(__xludf.DUMMYFUNCTION("""COMPUTED_VALUE"""),"https://www.youtube.com/user/USEmbReykjavik")</f>
        <v>https://www.youtube.com/user/USEmbReykjavik</v>
      </c>
    </row>
    <row r="745">
      <c r="A745" s="59" t="str">
        <f>IFERROR(__xludf.DUMMYFUNCTION("""COMPUTED_VALUE"""),"EUR")</f>
        <v>EUR</v>
      </c>
      <c r="B745" s="59" t="str">
        <f>IFERROR(__xludf.DUMMYFUNCTION("""COMPUTED_VALUE"""),"Ireland")</f>
        <v>Ireland</v>
      </c>
      <c r="C745" s="59" t="str">
        <f>IFERROR(__xludf.DUMMYFUNCTION("""COMPUTED_VALUE"""),"U.S. Ambassador to Dublin")</f>
        <v>U.S. Ambassador to Dublin</v>
      </c>
      <c r="D745" s="59" t="str">
        <f>IFERROR(__xludf.DUMMYFUNCTION("""COMPUTED_VALUE"""),"Instagram")</f>
        <v>Instagram</v>
      </c>
      <c r="E745" s="60" t="str">
        <f>IFERROR(__xludf.DUMMYFUNCTION("""COMPUTED_VALUE"""),"https://www.instagram.com/usembassydublin")</f>
        <v>https://www.instagram.com/usembassydublin</v>
      </c>
    </row>
    <row r="746">
      <c r="A746" s="59" t="str">
        <f>IFERROR(__xludf.DUMMYFUNCTION("""COMPUTED_VALUE"""),"EUR")</f>
        <v>EUR</v>
      </c>
      <c r="B746" s="59" t="str">
        <f>IFERROR(__xludf.DUMMYFUNCTION("""COMPUTED_VALUE"""),"Ireland")</f>
        <v>Ireland</v>
      </c>
      <c r="C746" s="59" t="str">
        <f>IFERROR(__xludf.DUMMYFUNCTION("""COMPUTED_VALUE"""),"U.S. Ambassador to Dublin")</f>
        <v>U.S. Ambassador to Dublin</v>
      </c>
      <c r="D746" s="59" t="str">
        <f>IFERROR(__xludf.DUMMYFUNCTION("""COMPUTED_VALUE"""),"X")</f>
        <v>X</v>
      </c>
      <c r="E746" s="60" t="str">
        <f>IFERROR(__xludf.DUMMYFUNCTION("""COMPUTED_VALUE"""),"https://x.com/USAmbIreland")</f>
        <v>https://x.com/USAmbIreland</v>
      </c>
    </row>
    <row r="747">
      <c r="A747" s="59" t="str">
        <f>IFERROR(__xludf.DUMMYFUNCTION("""COMPUTED_VALUE"""),"EUR")</f>
        <v>EUR</v>
      </c>
      <c r="B747" s="59" t="str">
        <f>IFERROR(__xludf.DUMMYFUNCTION("""COMPUTED_VALUE"""),"Ireland")</f>
        <v>Ireland</v>
      </c>
      <c r="C747" s="59" t="str">
        <f>IFERROR(__xludf.DUMMYFUNCTION("""COMPUTED_VALUE"""),"U.S. Embassy Dublin")</f>
        <v>U.S. Embassy Dublin</v>
      </c>
      <c r="D747" s="59" t="str">
        <f>IFERROR(__xludf.DUMMYFUNCTION("""COMPUTED_VALUE"""),"Facebook")</f>
        <v>Facebook</v>
      </c>
      <c r="E747" s="60" t="str">
        <f>IFERROR(__xludf.DUMMYFUNCTION("""COMPUTED_VALUE"""),"facebook.com/usembassydublin")</f>
        <v>facebook.com/usembassydublin</v>
      </c>
    </row>
    <row r="748">
      <c r="A748" s="59" t="str">
        <f>IFERROR(__xludf.DUMMYFUNCTION("""COMPUTED_VALUE"""),"EUR")</f>
        <v>EUR</v>
      </c>
      <c r="B748" s="59" t="str">
        <f>IFERROR(__xludf.DUMMYFUNCTION("""COMPUTED_VALUE"""),"Ireland")</f>
        <v>Ireland</v>
      </c>
      <c r="C748" s="59" t="str">
        <f>IFERROR(__xludf.DUMMYFUNCTION("""COMPUTED_VALUE"""),"U.S. Embassy Dublin")</f>
        <v>U.S. Embassy Dublin</v>
      </c>
      <c r="D748" s="59" t="str">
        <f>IFERROR(__xludf.DUMMYFUNCTION("""COMPUTED_VALUE"""),"X")</f>
        <v>X</v>
      </c>
      <c r="E748" s="60" t="str">
        <f>IFERROR(__xludf.DUMMYFUNCTION("""COMPUTED_VALUE"""),"https://x.com/USEmbassyDublin")</f>
        <v>https://x.com/USEmbassyDublin</v>
      </c>
    </row>
    <row r="749">
      <c r="A749" s="59" t="str">
        <f>IFERROR(__xludf.DUMMYFUNCTION("""COMPUTED_VALUE"""),"EUR")</f>
        <v>EUR</v>
      </c>
      <c r="B749" s="59" t="str">
        <f>IFERROR(__xludf.DUMMYFUNCTION("""COMPUTED_VALUE"""),"Ireland")</f>
        <v>Ireland</v>
      </c>
      <c r="C749" s="59" t="str">
        <f>IFERROR(__xludf.DUMMYFUNCTION("""COMPUTED_VALUE"""),"U.S. Embassy Dublin")</f>
        <v>U.S. Embassy Dublin</v>
      </c>
      <c r="D749" s="59" t="str">
        <f>IFERROR(__xludf.DUMMYFUNCTION("""COMPUTED_VALUE"""),"YouTube")</f>
        <v>YouTube</v>
      </c>
      <c r="E749" s="60" t="str">
        <f>IFERROR(__xludf.DUMMYFUNCTION("""COMPUTED_VALUE"""),"youtube.com/user/paodublin")</f>
        <v>youtube.com/user/paodublin</v>
      </c>
    </row>
    <row r="750">
      <c r="A750" s="59" t="str">
        <f>IFERROR(__xludf.DUMMYFUNCTION("""COMPUTED_VALUE"""),"EUR")</f>
        <v>EUR</v>
      </c>
      <c r="B750" s="59" t="str">
        <f>IFERROR(__xludf.DUMMYFUNCTION("""COMPUTED_VALUE"""),"Italy")</f>
        <v>Italy</v>
      </c>
      <c r="C750" s="59" t="str">
        <f>IFERROR(__xludf.DUMMYFUNCTION("""COMPUTED_VALUE"""),"U.S. Ambassador to Italy")</f>
        <v>U.S. Ambassador to Italy</v>
      </c>
      <c r="D750" s="59" t="str">
        <f>IFERROR(__xludf.DUMMYFUNCTION("""COMPUTED_VALUE"""),"X")</f>
        <v>X</v>
      </c>
      <c r="E750" s="60" t="str">
        <f>IFERROR(__xludf.DUMMYFUNCTION("""COMPUTED_VALUE"""),"https://x.com/usambitaly")</f>
        <v>https://x.com/usambitaly</v>
      </c>
    </row>
    <row r="751">
      <c r="A751" s="59" t="str">
        <f>IFERROR(__xludf.DUMMYFUNCTION("""COMPUTED_VALUE"""),"EUR")</f>
        <v>EUR</v>
      </c>
      <c r="B751" s="59" t="str">
        <f>IFERROR(__xludf.DUMMYFUNCTION("""COMPUTED_VALUE"""),"Italy")</f>
        <v>Italy</v>
      </c>
      <c r="C751" s="59" t="str">
        <f>IFERROR(__xludf.DUMMYFUNCTION("""COMPUTED_VALUE"""),"U.S. Consulate General Florence")</f>
        <v>U.S. Consulate General Florence</v>
      </c>
      <c r="D751" s="59" t="str">
        <f>IFERROR(__xludf.DUMMYFUNCTION("""COMPUTED_VALUE"""),"Facebook")</f>
        <v>Facebook</v>
      </c>
      <c r="E751" s="60" t="str">
        <f>IFERROR(__xludf.DUMMYFUNCTION("""COMPUTED_VALUE"""),"facebook.com/USCGFlorence")</f>
        <v>facebook.com/USCGFlorence</v>
      </c>
    </row>
    <row r="752">
      <c r="A752" s="59" t="str">
        <f>IFERROR(__xludf.DUMMYFUNCTION("""COMPUTED_VALUE"""),"EUR")</f>
        <v>EUR</v>
      </c>
      <c r="B752" s="59" t="str">
        <f>IFERROR(__xludf.DUMMYFUNCTION("""COMPUTED_VALUE"""),"Italy")</f>
        <v>Italy</v>
      </c>
      <c r="C752" s="59" t="str">
        <f>IFERROR(__xludf.DUMMYFUNCTION("""COMPUTED_VALUE"""),"U.S. Consulate General Florence")</f>
        <v>U.S. Consulate General Florence</v>
      </c>
      <c r="D752" s="59" t="str">
        <f>IFERROR(__xludf.DUMMYFUNCTION("""COMPUTED_VALUE"""),"X")</f>
        <v>X</v>
      </c>
      <c r="E752" s="60" t="str">
        <f>IFERROR(__xludf.DUMMYFUNCTION("""COMPUTED_VALUE"""),"https://x.com/uscgflorence")</f>
        <v>https://x.com/uscgflorence</v>
      </c>
    </row>
    <row r="753">
      <c r="A753" s="59" t="str">
        <f>IFERROR(__xludf.DUMMYFUNCTION("""COMPUTED_VALUE"""),"EUR")</f>
        <v>EUR</v>
      </c>
      <c r="B753" s="59" t="str">
        <f>IFERROR(__xludf.DUMMYFUNCTION("""COMPUTED_VALUE"""),"Italy")</f>
        <v>Italy</v>
      </c>
      <c r="C753" s="59" t="str">
        <f>IFERROR(__xludf.DUMMYFUNCTION("""COMPUTED_VALUE"""),"U.S. Consulate General Milan")</f>
        <v>U.S. Consulate General Milan</v>
      </c>
      <c r="D753" s="59" t="str">
        <f>IFERROR(__xludf.DUMMYFUNCTION("""COMPUTED_VALUE"""),"Facebook")</f>
        <v>Facebook</v>
      </c>
      <c r="E753" s="60" t="str">
        <f>IFERROR(__xludf.DUMMYFUNCTION("""COMPUTED_VALUE"""),"https://www.facebook.com/USConsMilan/")</f>
        <v>https://www.facebook.com/USConsMilan/</v>
      </c>
    </row>
    <row r="754">
      <c r="A754" s="59" t="str">
        <f>IFERROR(__xludf.DUMMYFUNCTION("""COMPUTED_VALUE"""),"EUR")</f>
        <v>EUR</v>
      </c>
      <c r="B754" s="59" t="str">
        <f>IFERROR(__xludf.DUMMYFUNCTION("""COMPUTED_VALUE"""),"Italy")</f>
        <v>Italy</v>
      </c>
      <c r="C754" s="59" t="str">
        <f>IFERROR(__xludf.DUMMYFUNCTION("""COMPUTED_VALUE"""),"U.S. Consulate General Milan")</f>
        <v>U.S. Consulate General Milan</v>
      </c>
      <c r="D754" s="59" t="str">
        <f>IFERROR(__xludf.DUMMYFUNCTION("""COMPUTED_VALUE"""),"Instagram")</f>
        <v>Instagram</v>
      </c>
      <c r="E754" s="60" t="str">
        <f>IFERROR(__xludf.DUMMYFUNCTION("""COMPUTED_VALUE"""),"https://www.instagram.com/usconsmilan")</f>
        <v>https://www.instagram.com/usconsmilan</v>
      </c>
    </row>
    <row r="755">
      <c r="A755" s="59" t="str">
        <f>IFERROR(__xludf.DUMMYFUNCTION("""COMPUTED_VALUE"""),"EUR")</f>
        <v>EUR</v>
      </c>
      <c r="B755" s="59" t="str">
        <f>IFERROR(__xludf.DUMMYFUNCTION("""COMPUTED_VALUE"""),"Italy")</f>
        <v>Italy</v>
      </c>
      <c r="C755" s="59" t="str">
        <f>IFERROR(__xludf.DUMMYFUNCTION("""COMPUTED_VALUE"""),"U.S. Consulate General Milan")</f>
        <v>U.S. Consulate General Milan</v>
      </c>
      <c r="D755" s="59" t="str">
        <f>IFERROR(__xludf.DUMMYFUNCTION("""COMPUTED_VALUE"""),"LinkedIn")</f>
        <v>LinkedIn</v>
      </c>
      <c r="E755" s="60" t="str">
        <f>IFERROR(__xludf.DUMMYFUNCTION("""COMPUTED_VALUE"""),"https://www.linkedin.com/company/us-consulate-general-of-the-united-states-in-milan/")</f>
        <v>https://www.linkedin.com/company/us-consulate-general-of-the-united-states-in-milan/</v>
      </c>
    </row>
    <row r="756">
      <c r="A756" s="59" t="str">
        <f>IFERROR(__xludf.DUMMYFUNCTION("""COMPUTED_VALUE"""),"EUR")</f>
        <v>EUR</v>
      </c>
      <c r="B756" s="59" t="str">
        <f>IFERROR(__xludf.DUMMYFUNCTION("""COMPUTED_VALUE"""),"Italy")</f>
        <v>Italy</v>
      </c>
      <c r="C756" s="59" t="str">
        <f>IFERROR(__xludf.DUMMYFUNCTION("""COMPUTED_VALUE"""),"U.S. Consulate General Milan")</f>
        <v>U.S. Consulate General Milan</v>
      </c>
      <c r="D756" s="59" t="str">
        <f>IFERROR(__xludf.DUMMYFUNCTION("""COMPUTED_VALUE"""),"X")</f>
        <v>X</v>
      </c>
      <c r="E756" s="60" t="str">
        <f>IFERROR(__xludf.DUMMYFUNCTION("""COMPUTED_VALUE"""),"https://x.com/USConsMilan")</f>
        <v>https://x.com/USConsMilan</v>
      </c>
    </row>
    <row r="757">
      <c r="A757" s="59" t="str">
        <f>IFERROR(__xludf.DUMMYFUNCTION("""COMPUTED_VALUE"""),"EUR")</f>
        <v>EUR</v>
      </c>
      <c r="B757" s="59" t="str">
        <f>IFERROR(__xludf.DUMMYFUNCTION("""COMPUTED_VALUE"""),"Italy")</f>
        <v>Italy</v>
      </c>
      <c r="C757" s="59" t="str">
        <f>IFERROR(__xludf.DUMMYFUNCTION("""COMPUTED_VALUE"""),"U.S. Consulate General Milan")</f>
        <v>U.S. Consulate General Milan</v>
      </c>
      <c r="D757" s="59" t="str">
        <f>IFERROR(__xludf.DUMMYFUNCTION("""COMPUTED_VALUE"""),"YouTube")</f>
        <v>YouTube</v>
      </c>
      <c r="E757" s="60" t="str">
        <f>IFERROR(__xludf.DUMMYFUNCTION("""COMPUTED_VALUE"""),"youtube.com/user/USConsMilan")</f>
        <v>youtube.com/user/USConsMilan</v>
      </c>
    </row>
    <row r="758">
      <c r="A758" s="59" t="str">
        <f>IFERROR(__xludf.DUMMYFUNCTION("""COMPUTED_VALUE"""),"EUR")</f>
        <v>EUR</v>
      </c>
      <c r="B758" s="59" t="str">
        <f>IFERROR(__xludf.DUMMYFUNCTION("""COMPUTED_VALUE"""),"Italy")</f>
        <v>Italy</v>
      </c>
      <c r="C758" s="59" t="str">
        <f>IFERROR(__xludf.DUMMYFUNCTION("""COMPUTED_VALUE"""),"U.S. Consulate General Naples")</f>
        <v>U.S. Consulate General Naples</v>
      </c>
      <c r="D758" s="59" t="str">
        <f>IFERROR(__xludf.DUMMYFUNCTION("""COMPUTED_VALUE"""),"Facebook")</f>
        <v>Facebook</v>
      </c>
      <c r="E758" s="60" t="str">
        <f>IFERROR(__xludf.DUMMYFUNCTION("""COMPUTED_VALUE"""),"https://www.facebook.com/ConsolatoUSANapoli/")</f>
        <v>https://www.facebook.com/ConsolatoUSANapoli/</v>
      </c>
    </row>
    <row r="759">
      <c r="A759" s="59" t="str">
        <f>IFERROR(__xludf.DUMMYFUNCTION("""COMPUTED_VALUE"""),"EUR")</f>
        <v>EUR</v>
      </c>
      <c r="B759" s="59" t="str">
        <f>IFERROR(__xludf.DUMMYFUNCTION("""COMPUTED_VALUE"""),"Italy")</f>
        <v>Italy</v>
      </c>
      <c r="C759" s="59" t="str">
        <f>IFERROR(__xludf.DUMMYFUNCTION("""COMPUTED_VALUE"""),"U.S. Consulate General Naples")</f>
        <v>U.S. Consulate General Naples</v>
      </c>
      <c r="D759" s="59" t="str">
        <f>IFERROR(__xludf.DUMMYFUNCTION("""COMPUTED_VALUE"""),"Instagram")</f>
        <v>Instagram</v>
      </c>
      <c r="E759" s="60" t="str">
        <f>IFERROR(__xludf.DUMMYFUNCTION("""COMPUTED_VALUE"""),"https://www.instagram.com/usanelsud")</f>
        <v>https://www.instagram.com/usanelsud</v>
      </c>
    </row>
    <row r="760">
      <c r="A760" s="59" t="str">
        <f>IFERROR(__xludf.DUMMYFUNCTION("""COMPUTED_VALUE"""),"EUR")</f>
        <v>EUR</v>
      </c>
      <c r="B760" s="59" t="str">
        <f>IFERROR(__xludf.DUMMYFUNCTION("""COMPUTED_VALUE"""),"Italy")</f>
        <v>Italy</v>
      </c>
      <c r="C760" s="59" t="str">
        <f>IFERROR(__xludf.DUMMYFUNCTION("""COMPUTED_VALUE"""),"U.S. Consulate General Naples")</f>
        <v>U.S. Consulate General Naples</v>
      </c>
      <c r="D760" s="59" t="str">
        <f>IFERROR(__xludf.DUMMYFUNCTION("""COMPUTED_VALUE"""),"X")</f>
        <v>X</v>
      </c>
      <c r="E760" s="60" t="str">
        <f>IFERROR(__xludf.DUMMYFUNCTION("""COMPUTED_VALUE"""),"https://x.com/USAnelSud")</f>
        <v>https://x.com/USAnelSud</v>
      </c>
    </row>
    <row r="761">
      <c r="A761" s="59" t="str">
        <f>IFERROR(__xludf.DUMMYFUNCTION("""COMPUTED_VALUE"""),"EUR")</f>
        <v>EUR</v>
      </c>
      <c r="B761" s="59" t="str">
        <f>IFERROR(__xludf.DUMMYFUNCTION("""COMPUTED_VALUE"""),"Italy")</f>
        <v>Italy</v>
      </c>
      <c r="C761" s="59" t="str">
        <f>IFERROR(__xludf.DUMMYFUNCTION("""COMPUTED_VALUE"""),"U.S. Consulate General Naples")</f>
        <v>U.S. Consulate General Naples</v>
      </c>
      <c r="D761" s="59" t="str">
        <f>IFERROR(__xludf.DUMMYFUNCTION("""COMPUTED_VALUE"""),"YouTube")</f>
        <v>YouTube</v>
      </c>
      <c r="E761" s="60" t="str">
        <f>IFERROR(__xludf.DUMMYFUNCTION("""COMPUTED_VALUE"""),"https://www.youtube.com/user/ConsolatoUSANapoli")</f>
        <v>https://www.youtube.com/user/ConsolatoUSANapoli</v>
      </c>
    </row>
    <row r="762">
      <c r="A762" s="59" t="str">
        <f>IFERROR(__xludf.DUMMYFUNCTION("""COMPUTED_VALUE"""),"EUR")</f>
        <v>EUR</v>
      </c>
      <c r="B762" s="59" t="str">
        <f>IFERROR(__xludf.DUMMYFUNCTION("""COMPUTED_VALUE"""),"Italy")</f>
        <v>Italy</v>
      </c>
      <c r="C762" s="59" t="str">
        <f>IFERROR(__xludf.DUMMYFUNCTION("""COMPUTED_VALUE"""),"U.S. Embassy Rome")</f>
        <v>U.S. Embassy Rome</v>
      </c>
      <c r="D762" s="59" t="str">
        <f>IFERROR(__xludf.DUMMYFUNCTION("""COMPUTED_VALUE"""),"Facebook")</f>
        <v>Facebook</v>
      </c>
      <c r="E762" s="60" t="str">
        <f>IFERROR(__xludf.DUMMYFUNCTION("""COMPUTED_VALUE"""),"https://www.facebook.com/AmbasciataUSA/871")</f>
        <v>https://www.facebook.com/AmbasciataUSA/871</v>
      </c>
    </row>
    <row r="763">
      <c r="A763" s="59" t="str">
        <f>IFERROR(__xludf.DUMMYFUNCTION("""COMPUTED_VALUE"""),"EUR")</f>
        <v>EUR</v>
      </c>
      <c r="B763" s="59" t="str">
        <f>IFERROR(__xludf.DUMMYFUNCTION("""COMPUTED_VALUE"""),"Italy")</f>
        <v>Italy</v>
      </c>
      <c r="C763" s="59" t="str">
        <f>IFERROR(__xludf.DUMMYFUNCTION("""COMPUTED_VALUE"""),"U.S. Embassy Rome")</f>
        <v>U.S. Embassy Rome</v>
      </c>
      <c r="D763" s="59" t="str">
        <f>IFERROR(__xludf.DUMMYFUNCTION("""COMPUTED_VALUE"""),"Instagram")</f>
        <v>Instagram</v>
      </c>
      <c r="E763" s="60" t="str">
        <f>IFERROR(__xludf.DUMMYFUNCTION("""COMPUTED_VALUE"""),"https://www.instagram.com/ambasciatausa/")</f>
        <v>https://www.instagram.com/ambasciatausa/</v>
      </c>
    </row>
    <row r="764">
      <c r="A764" s="59" t="str">
        <f>IFERROR(__xludf.DUMMYFUNCTION("""COMPUTED_VALUE"""),"EUR")</f>
        <v>EUR</v>
      </c>
      <c r="B764" s="59" t="str">
        <f>IFERROR(__xludf.DUMMYFUNCTION("""COMPUTED_VALUE"""),"Italy")</f>
        <v>Italy</v>
      </c>
      <c r="C764" s="59" t="str">
        <f>IFERROR(__xludf.DUMMYFUNCTION("""COMPUTED_VALUE"""),"U.S. Embassy Rome")</f>
        <v>U.S. Embassy Rome</v>
      </c>
      <c r="D764" s="59" t="str">
        <f>IFERROR(__xludf.DUMMYFUNCTION("""COMPUTED_VALUE"""),"X")</f>
        <v>X</v>
      </c>
      <c r="E764" s="60" t="str">
        <f>IFERROR(__xludf.DUMMYFUNCTION("""COMPUTED_VALUE"""),"https://x.com/AmbasciataUSA")</f>
        <v>https://x.com/AmbasciataUSA</v>
      </c>
    </row>
    <row r="765">
      <c r="A765" s="59" t="str">
        <f>IFERROR(__xludf.DUMMYFUNCTION("""COMPUTED_VALUE"""),"EUR")</f>
        <v>EUR</v>
      </c>
      <c r="B765" s="59" t="str">
        <f>IFERROR(__xludf.DUMMYFUNCTION("""COMPUTED_VALUE"""),"Italy")</f>
        <v>Italy</v>
      </c>
      <c r="C765" s="59" t="str">
        <f>IFERROR(__xludf.DUMMYFUNCTION("""COMPUTED_VALUE"""),"U.S. Embassy Rome")</f>
        <v>U.S. Embassy Rome</v>
      </c>
      <c r="D765" s="59" t="str">
        <f>IFERROR(__xludf.DUMMYFUNCTION("""COMPUTED_VALUE"""),"YouTube")</f>
        <v>YouTube</v>
      </c>
      <c r="E765" s="60" t="str">
        <f>IFERROR(__xludf.DUMMYFUNCTION("""COMPUTED_VALUE"""),"youtube.com/user/AmbasciataUSA")</f>
        <v>youtube.com/user/AmbasciataUSA</v>
      </c>
    </row>
    <row r="766">
      <c r="A766" s="59" t="str">
        <f>IFERROR(__xludf.DUMMYFUNCTION("""COMPUTED_VALUE"""),"EUR")</f>
        <v>EUR</v>
      </c>
      <c r="B766" s="59" t="str">
        <f>IFERROR(__xludf.DUMMYFUNCTION("""COMPUTED_VALUE"""),"Kosovo")</f>
        <v>Kosovo</v>
      </c>
      <c r="C766" s="59" t="str">
        <f>IFERROR(__xludf.DUMMYFUNCTION("""COMPUTED_VALUE"""),"U.S. Ambassador to Kosovo")</f>
        <v>U.S. Ambassador to Kosovo</v>
      </c>
      <c r="D766" s="59" t="str">
        <f>IFERROR(__xludf.DUMMYFUNCTION("""COMPUTED_VALUE"""),"X")</f>
        <v>X</v>
      </c>
      <c r="E766" s="60" t="str">
        <f>IFERROR(__xludf.DUMMYFUNCTION("""COMPUTED_VALUE"""),"https://x.com/USAmbKosovo")</f>
        <v>https://x.com/USAmbKosovo</v>
      </c>
    </row>
    <row r="767">
      <c r="A767" s="59" t="str">
        <f>IFERROR(__xludf.DUMMYFUNCTION("""COMPUTED_VALUE"""),"EUR")</f>
        <v>EUR</v>
      </c>
      <c r="B767" s="59" t="str">
        <f>IFERROR(__xludf.DUMMYFUNCTION("""COMPUTED_VALUE"""),"Kosovo")</f>
        <v>Kosovo</v>
      </c>
      <c r="C767" s="59" t="str">
        <f>IFERROR(__xludf.DUMMYFUNCTION("""COMPUTED_VALUE"""),"U.S. Embassy Pristina")</f>
        <v>U.S. Embassy Pristina</v>
      </c>
      <c r="D767" s="59" t="str">
        <f>IFERROR(__xludf.DUMMYFUNCTION("""COMPUTED_VALUE"""),"Facebook")</f>
        <v>Facebook</v>
      </c>
      <c r="E767" s="60" t="str">
        <f>IFERROR(__xludf.DUMMYFUNCTION("""COMPUTED_VALUE"""),"https://www.facebook.com/kosovo.usembassy/")</f>
        <v>https://www.facebook.com/kosovo.usembassy/</v>
      </c>
    </row>
    <row r="768">
      <c r="A768" s="59" t="str">
        <f>IFERROR(__xludf.DUMMYFUNCTION("""COMPUTED_VALUE"""),"EUR")</f>
        <v>EUR</v>
      </c>
      <c r="B768" s="59" t="str">
        <f>IFERROR(__xludf.DUMMYFUNCTION("""COMPUTED_VALUE"""),"Kosovo")</f>
        <v>Kosovo</v>
      </c>
      <c r="C768" s="59" t="str">
        <f>IFERROR(__xludf.DUMMYFUNCTION("""COMPUTED_VALUE"""),"U.S. Embassy Pristina")</f>
        <v>U.S. Embassy Pristina</v>
      </c>
      <c r="D768" s="59" t="str">
        <f>IFERROR(__xludf.DUMMYFUNCTION("""COMPUTED_VALUE"""),"Instagram")</f>
        <v>Instagram</v>
      </c>
      <c r="E768" s="60" t="str">
        <f>IFERROR(__xludf.DUMMYFUNCTION("""COMPUTED_VALUE"""),"https://www.instagram.com/usembassypristina/")</f>
        <v>https://www.instagram.com/usembassypristina/</v>
      </c>
    </row>
    <row r="769">
      <c r="A769" s="59" t="str">
        <f>IFERROR(__xludf.DUMMYFUNCTION("""COMPUTED_VALUE"""),"EUR")</f>
        <v>EUR</v>
      </c>
      <c r="B769" s="59" t="str">
        <f>IFERROR(__xludf.DUMMYFUNCTION("""COMPUTED_VALUE"""),"Kosovo")</f>
        <v>Kosovo</v>
      </c>
      <c r="C769" s="59" t="str">
        <f>IFERROR(__xludf.DUMMYFUNCTION("""COMPUTED_VALUE"""),"U.S. Embassy Pristina")</f>
        <v>U.S. Embassy Pristina</v>
      </c>
      <c r="D769" s="59" t="str">
        <f>IFERROR(__xludf.DUMMYFUNCTION("""COMPUTED_VALUE"""),"X")</f>
        <v>X</v>
      </c>
      <c r="E769" s="60" t="str">
        <f>IFERROR(__xludf.DUMMYFUNCTION("""COMPUTED_VALUE"""),"https://x.com/USEmbPristina")</f>
        <v>https://x.com/USEmbPristina</v>
      </c>
    </row>
    <row r="770">
      <c r="A770" s="59" t="str">
        <f>IFERROR(__xludf.DUMMYFUNCTION("""COMPUTED_VALUE"""),"EUR")</f>
        <v>EUR</v>
      </c>
      <c r="B770" s="59" t="str">
        <f>IFERROR(__xludf.DUMMYFUNCTION("""COMPUTED_VALUE"""),"Latvia")</f>
        <v>Latvia</v>
      </c>
      <c r="C770" s="59" t="str">
        <f>IFERROR(__xludf.DUMMYFUNCTION("""COMPUTED_VALUE"""),"U.S. Embassy Riga")</f>
        <v>U.S. Embassy Riga</v>
      </c>
      <c r="D770" s="59" t="str">
        <f>IFERROR(__xludf.DUMMYFUNCTION("""COMPUTED_VALUE"""),"Facebook")</f>
        <v>Facebook</v>
      </c>
      <c r="E770" s="60" t="str">
        <f>IFERROR(__xludf.DUMMYFUNCTION("""COMPUTED_VALUE"""),"https://www.facebook.com/usembassyriga/")</f>
        <v>https://www.facebook.com/usembassyriga/</v>
      </c>
    </row>
    <row r="771">
      <c r="A771" s="59" t="str">
        <f>IFERROR(__xludf.DUMMYFUNCTION("""COMPUTED_VALUE"""),"EUR")</f>
        <v>EUR</v>
      </c>
      <c r="B771" s="59" t="str">
        <f>IFERROR(__xludf.DUMMYFUNCTION("""COMPUTED_VALUE"""),"Latvia")</f>
        <v>Latvia</v>
      </c>
      <c r="C771" s="59" t="str">
        <f>IFERROR(__xludf.DUMMYFUNCTION("""COMPUTED_VALUE"""),"U.S. Embassy Riga")</f>
        <v>U.S. Embassy Riga</v>
      </c>
      <c r="D771" s="59" t="str">
        <f>IFERROR(__xludf.DUMMYFUNCTION("""COMPUTED_VALUE"""),"Instagram")</f>
        <v>Instagram</v>
      </c>
      <c r="E771" s="60" t="str">
        <f>IFERROR(__xludf.DUMMYFUNCTION("""COMPUTED_VALUE"""),"https://www.instagram.com/usembassyriga")</f>
        <v>https://www.instagram.com/usembassyriga</v>
      </c>
    </row>
    <row r="772">
      <c r="A772" s="59" t="str">
        <f>IFERROR(__xludf.DUMMYFUNCTION("""COMPUTED_VALUE"""),"EUR")</f>
        <v>EUR</v>
      </c>
      <c r="B772" s="59" t="str">
        <f>IFERROR(__xludf.DUMMYFUNCTION("""COMPUTED_VALUE"""),"Latvia")</f>
        <v>Latvia</v>
      </c>
      <c r="C772" s="59" t="str">
        <f>IFERROR(__xludf.DUMMYFUNCTION("""COMPUTED_VALUE"""),"U.S. Embassy Riga")</f>
        <v>U.S. Embassy Riga</v>
      </c>
      <c r="D772" s="59" t="str">
        <f>IFERROR(__xludf.DUMMYFUNCTION("""COMPUTED_VALUE"""),"X")</f>
        <v>X</v>
      </c>
      <c r="E772" s="60" t="str">
        <f>IFERROR(__xludf.DUMMYFUNCTION("""COMPUTED_VALUE"""),"https://x.com/USEmbassyRiga")</f>
        <v>https://x.com/USEmbassyRiga</v>
      </c>
    </row>
    <row r="773">
      <c r="A773" s="59" t="str">
        <f>IFERROR(__xludf.DUMMYFUNCTION("""COMPUTED_VALUE"""),"EUR")</f>
        <v>EUR</v>
      </c>
      <c r="B773" s="59" t="str">
        <f>IFERROR(__xludf.DUMMYFUNCTION("""COMPUTED_VALUE"""),"Latvia")</f>
        <v>Latvia</v>
      </c>
      <c r="C773" s="59" t="str">
        <f>IFERROR(__xludf.DUMMYFUNCTION("""COMPUTED_VALUE"""),"U.S. Embassy Riga")</f>
        <v>U.S. Embassy Riga</v>
      </c>
      <c r="D773" s="59" t="str">
        <f>IFERROR(__xludf.DUMMYFUNCTION("""COMPUTED_VALUE"""),"LinkedIn")</f>
        <v>LinkedIn</v>
      </c>
      <c r="E773" s="60" t="str">
        <f>IFERROR(__xludf.DUMMYFUNCTION("""COMPUTED_VALUE"""),"https://www.linkedin.com/company/u-s-embassy-riga/")</f>
        <v>https://www.linkedin.com/company/u-s-embassy-riga/</v>
      </c>
    </row>
    <row r="774">
      <c r="A774" s="59" t="str">
        <f>IFERROR(__xludf.DUMMYFUNCTION("""COMPUTED_VALUE"""),"EUR")</f>
        <v>EUR</v>
      </c>
      <c r="B774" s="59" t="str">
        <f>IFERROR(__xludf.DUMMYFUNCTION("""COMPUTED_VALUE"""),"Latvia")</f>
        <v>Latvia</v>
      </c>
      <c r="C774" s="59" t="str">
        <f>IFERROR(__xludf.DUMMYFUNCTION("""COMPUTED_VALUE"""),"U.S. Embassy Riga")</f>
        <v>U.S. Embassy Riga</v>
      </c>
      <c r="D774" s="59" t="str">
        <f>IFERROR(__xludf.DUMMYFUNCTION("""COMPUTED_VALUE"""),"Telegram")</f>
        <v>Telegram</v>
      </c>
      <c r="E774" s="60" t="str">
        <f>IFERROR(__xludf.DUMMYFUNCTION("""COMPUTED_VALUE"""),"https://t.me/USEmbRiga")</f>
        <v>https://t.me/USEmbRiga</v>
      </c>
    </row>
    <row r="775">
      <c r="A775" s="59" t="str">
        <f>IFERROR(__xludf.DUMMYFUNCTION("""COMPUTED_VALUE"""),"EUR")</f>
        <v>EUR</v>
      </c>
      <c r="B775" s="59" t="str">
        <f>IFERROR(__xludf.DUMMYFUNCTION("""COMPUTED_VALUE"""),"Lithuania")</f>
        <v>Lithuania</v>
      </c>
      <c r="C775" s="59" t="str">
        <f>IFERROR(__xludf.DUMMYFUNCTION("""COMPUTED_VALUE"""),"U.S. Ambassador to Lithuania")</f>
        <v>U.S. Ambassador to Lithuania</v>
      </c>
      <c r="D775" s="59" t="str">
        <f>IFERROR(__xludf.DUMMYFUNCTION("""COMPUTED_VALUE"""),"Instagram")</f>
        <v>Instagram</v>
      </c>
      <c r="E775" s="60" t="str">
        <f>IFERROR(__xludf.DUMMYFUNCTION("""COMPUTED_VALUE"""),"https://www.instagram.com/usamblt/")</f>
        <v>https://www.instagram.com/usamblt/</v>
      </c>
    </row>
    <row r="776">
      <c r="A776" s="59" t="str">
        <f>IFERROR(__xludf.DUMMYFUNCTION("""COMPUTED_VALUE"""),"EUR")</f>
        <v>EUR</v>
      </c>
      <c r="B776" s="59" t="str">
        <f>IFERROR(__xludf.DUMMYFUNCTION("""COMPUTED_VALUE"""),"Lithuania")</f>
        <v>Lithuania</v>
      </c>
      <c r="C776" s="59" t="str">
        <f>IFERROR(__xludf.DUMMYFUNCTION("""COMPUTED_VALUE"""),"U.S. Embassy Vilnius")</f>
        <v>U.S. Embassy Vilnius</v>
      </c>
      <c r="D776" s="59" t="str">
        <f>IFERROR(__xludf.DUMMYFUNCTION("""COMPUTED_VALUE"""),"Facebook")</f>
        <v>Facebook</v>
      </c>
      <c r="E776" s="60" t="str">
        <f>IFERROR(__xludf.DUMMYFUNCTION("""COMPUTED_VALUE"""),"https://www.facebook.com/vilnius.usembassy/")</f>
        <v>https://www.facebook.com/vilnius.usembassy/</v>
      </c>
    </row>
    <row r="777">
      <c r="A777" s="59" t="str">
        <f>IFERROR(__xludf.DUMMYFUNCTION("""COMPUTED_VALUE"""),"EUR")</f>
        <v>EUR</v>
      </c>
      <c r="B777" s="59" t="str">
        <f>IFERROR(__xludf.DUMMYFUNCTION("""COMPUTED_VALUE"""),"Lithuania")</f>
        <v>Lithuania</v>
      </c>
      <c r="C777" s="59" t="str">
        <f>IFERROR(__xludf.DUMMYFUNCTION("""COMPUTED_VALUE"""),"U.S. Embassy Vilnius")</f>
        <v>U.S. Embassy Vilnius</v>
      </c>
      <c r="D777" s="59" t="str">
        <f>IFERROR(__xludf.DUMMYFUNCTION("""COMPUTED_VALUE"""),"Instagram")</f>
        <v>Instagram</v>
      </c>
      <c r="E777" s="60" t="str">
        <f>IFERROR(__xludf.DUMMYFUNCTION("""COMPUTED_VALUE"""),"https://www.instagram.com/usembassyvilnius")</f>
        <v>https://www.instagram.com/usembassyvilnius</v>
      </c>
    </row>
    <row r="778">
      <c r="A778" s="59" t="str">
        <f>IFERROR(__xludf.DUMMYFUNCTION("""COMPUTED_VALUE"""),"EUR")</f>
        <v>EUR</v>
      </c>
      <c r="B778" s="59" t="str">
        <f>IFERROR(__xludf.DUMMYFUNCTION("""COMPUTED_VALUE"""),"Lithuania")</f>
        <v>Lithuania</v>
      </c>
      <c r="C778" s="59" t="str">
        <f>IFERROR(__xludf.DUMMYFUNCTION("""COMPUTED_VALUE"""),"U.S. Embassy Vilnius")</f>
        <v>U.S. Embassy Vilnius</v>
      </c>
      <c r="D778" s="59" t="str">
        <f>IFERROR(__xludf.DUMMYFUNCTION("""COMPUTED_VALUE"""),"LinkedIn")</f>
        <v>LinkedIn</v>
      </c>
      <c r="E778" s="60" t="str">
        <f>IFERROR(__xludf.DUMMYFUNCTION("""COMPUTED_VALUE"""),"https://www.linkedin.com/company/us-embassy-vilnius-lithuania/")</f>
        <v>https://www.linkedin.com/company/us-embassy-vilnius-lithuania/</v>
      </c>
    </row>
    <row r="779">
      <c r="A779" s="59" t="str">
        <f>IFERROR(__xludf.DUMMYFUNCTION("""COMPUTED_VALUE"""),"EUR")</f>
        <v>EUR</v>
      </c>
      <c r="B779" s="59" t="str">
        <f>IFERROR(__xludf.DUMMYFUNCTION("""COMPUTED_VALUE"""),"Lithuania")</f>
        <v>Lithuania</v>
      </c>
      <c r="C779" s="59" t="str">
        <f>IFERROR(__xludf.DUMMYFUNCTION("""COMPUTED_VALUE"""),"U.S. Embassy Vilnius")</f>
        <v>U.S. Embassy Vilnius</v>
      </c>
      <c r="D779" s="59" t="str">
        <f>IFERROR(__xludf.DUMMYFUNCTION("""COMPUTED_VALUE"""),"X")</f>
        <v>X</v>
      </c>
      <c r="E779" s="60" t="str">
        <f>IFERROR(__xludf.DUMMYFUNCTION("""COMPUTED_VALUE"""),"https://x.com/USEmbVilnius")</f>
        <v>https://x.com/USEmbVilnius</v>
      </c>
    </row>
    <row r="780">
      <c r="A780" s="59" t="str">
        <f>IFERROR(__xludf.DUMMYFUNCTION("""COMPUTED_VALUE"""),"EUR")</f>
        <v>EUR</v>
      </c>
      <c r="B780" s="59" t="str">
        <f>IFERROR(__xludf.DUMMYFUNCTION("""COMPUTED_VALUE"""),"Lithuania")</f>
        <v>Lithuania</v>
      </c>
      <c r="C780" s="59" t="str">
        <f>IFERROR(__xludf.DUMMYFUNCTION("""COMPUTED_VALUE"""),"U.S. Embassy Vilnius")</f>
        <v>U.S. Embassy Vilnius</v>
      </c>
      <c r="D780" s="59" t="str">
        <f>IFERROR(__xludf.DUMMYFUNCTION("""COMPUTED_VALUE"""),"YouTube")</f>
        <v>YouTube</v>
      </c>
      <c r="E780" s="60" t="str">
        <f>IFERROR(__xludf.DUMMYFUNCTION("""COMPUTED_VALUE"""),"https://youtube.com/@USEmbassyLithuania")</f>
        <v>https://youtube.com/@USEmbassyLithuania</v>
      </c>
    </row>
    <row r="781">
      <c r="A781" s="59" t="str">
        <f>IFERROR(__xludf.DUMMYFUNCTION("""COMPUTED_VALUE"""),"EUR")</f>
        <v>EUR</v>
      </c>
      <c r="B781" s="59" t="str">
        <f>IFERROR(__xludf.DUMMYFUNCTION("""COMPUTED_VALUE"""),"Luxembourg")</f>
        <v>Luxembourg</v>
      </c>
      <c r="C781" s="59" t="str">
        <f>IFERROR(__xludf.DUMMYFUNCTION("""COMPUTED_VALUE"""),"U.S. Embassy Luxembourg")</f>
        <v>U.S. Embassy Luxembourg</v>
      </c>
      <c r="D781" s="59" t="str">
        <f>IFERROR(__xludf.DUMMYFUNCTION("""COMPUTED_VALUE"""),"Facebook")</f>
        <v>Facebook</v>
      </c>
      <c r="E781" s="60" t="str">
        <f>IFERROR(__xludf.DUMMYFUNCTION("""COMPUTED_VALUE"""),"facebook.com/usdos.Luxembourg")</f>
        <v>facebook.com/usdos.Luxembourg</v>
      </c>
    </row>
    <row r="782">
      <c r="A782" s="59" t="str">
        <f>IFERROR(__xludf.DUMMYFUNCTION("""COMPUTED_VALUE"""),"EUR")</f>
        <v>EUR</v>
      </c>
      <c r="B782" s="59" t="str">
        <f>IFERROR(__xludf.DUMMYFUNCTION("""COMPUTED_VALUE"""),"Luxembourg")</f>
        <v>Luxembourg</v>
      </c>
      <c r="C782" s="59" t="str">
        <f>IFERROR(__xludf.DUMMYFUNCTION("""COMPUTED_VALUE"""),"U.S. Embassy Luxembourg")</f>
        <v>U.S. Embassy Luxembourg</v>
      </c>
      <c r="D782" s="59" t="str">
        <f>IFERROR(__xludf.DUMMYFUNCTION("""COMPUTED_VALUE"""),"Instagram")</f>
        <v>Instagram</v>
      </c>
      <c r="E782" s="60" t="str">
        <f>IFERROR(__xludf.DUMMYFUNCTION("""COMPUTED_VALUE"""),"https://www.instagram.com/us.embassy.luxembourg")</f>
        <v>https://www.instagram.com/us.embassy.luxembourg</v>
      </c>
    </row>
    <row r="783">
      <c r="A783" s="59" t="str">
        <f>IFERROR(__xludf.DUMMYFUNCTION("""COMPUTED_VALUE"""),"EUR")</f>
        <v>EUR</v>
      </c>
      <c r="B783" s="59" t="str">
        <f>IFERROR(__xludf.DUMMYFUNCTION("""COMPUTED_VALUE"""),"Luxembourg")</f>
        <v>Luxembourg</v>
      </c>
      <c r="C783" s="59" t="str">
        <f>IFERROR(__xludf.DUMMYFUNCTION("""COMPUTED_VALUE"""),"U.S. Embassy Luxembourg")</f>
        <v>U.S. Embassy Luxembourg</v>
      </c>
      <c r="D783" s="59" t="str">
        <f>IFERROR(__xludf.DUMMYFUNCTION("""COMPUTED_VALUE"""),"LinkedIn")</f>
        <v>LinkedIn</v>
      </c>
      <c r="E783" s="60" t="str">
        <f>IFERROR(__xludf.DUMMYFUNCTION("""COMPUTED_VALUE"""),"https://www.linkedin.com/company/u-s-embassy-luxembourg/")</f>
        <v>https://www.linkedin.com/company/u-s-embassy-luxembourg/</v>
      </c>
    </row>
    <row r="784">
      <c r="A784" s="59" t="str">
        <f>IFERROR(__xludf.DUMMYFUNCTION("""COMPUTED_VALUE"""),"EUR")</f>
        <v>EUR</v>
      </c>
      <c r="B784" s="59" t="str">
        <f>IFERROR(__xludf.DUMMYFUNCTION("""COMPUTED_VALUE"""),"Luxembourg")</f>
        <v>Luxembourg</v>
      </c>
      <c r="C784" s="59" t="str">
        <f>IFERROR(__xludf.DUMMYFUNCTION("""COMPUTED_VALUE"""),"U.S. Embassy Luxembourg")</f>
        <v>U.S. Embassy Luxembourg</v>
      </c>
      <c r="D784" s="59" t="str">
        <f>IFERROR(__xludf.DUMMYFUNCTION("""COMPUTED_VALUE"""),"X")</f>
        <v>X</v>
      </c>
      <c r="E784" s="60" t="str">
        <f>IFERROR(__xludf.DUMMYFUNCTION("""COMPUTED_VALUE"""),"https://x.com/USEmbLuxembourg")</f>
        <v>https://x.com/USEmbLuxembourg</v>
      </c>
    </row>
    <row r="785">
      <c r="A785" s="59" t="str">
        <f>IFERROR(__xludf.DUMMYFUNCTION("""COMPUTED_VALUE"""),"EUR")</f>
        <v>EUR</v>
      </c>
      <c r="B785" s="59" t="str">
        <f>IFERROR(__xludf.DUMMYFUNCTION("""COMPUTED_VALUE"""),"Luxembourg")</f>
        <v>Luxembourg</v>
      </c>
      <c r="C785" s="59" t="str">
        <f>IFERROR(__xludf.DUMMYFUNCTION("""COMPUTED_VALUE"""),"U.S. Embassy Luxembourg")</f>
        <v>U.S. Embassy Luxembourg</v>
      </c>
      <c r="D785" s="59" t="str">
        <f>IFERROR(__xludf.DUMMYFUNCTION("""COMPUTED_VALUE"""),"YouTube")</f>
        <v>YouTube</v>
      </c>
      <c r="E785" s="60" t="str">
        <f>IFERROR(__xludf.DUMMYFUNCTION("""COMPUTED_VALUE"""),"https://www.youtube.com/@usembassyluxembourg505/")</f>
        <v>https://www.youtube.com/@usembassyluxembourg505/</v>
      </c>
    </row>
    <row r="786">
      <c r="A786" s="59" t="str">
        <f>IFERROR(__xludf.DUMMYFUNCTION("""COMPUTED_VALUE"""),"EUR")</f>
        <v>EUR</v>
      </c>
      <c r="B786" s="59" t="str">
        <f>IFERROR(__xludf.DUMMYFUNCTION("""COMPUTED_VALUE"""),"Malta")</f>
        <v>Malta</v>
      </c>
      <c r="C786" s="59" t="str">
        <f>IFERROR(__xludf.DUMMYFUNCTION("""COMPUTED_VALUE"""),"U.S. Ambassador to the Republic of Malta")</f>
        <v>U.S. Ambassador to the Republic of Malta</v>
      </c>
      <c r="D786" s="59" t="str">
        <f>IFERROR(__xludf.DUMMYFUNCTION("""COMPUTED_VALUE"""),"X")</f>
        <v>X</v>
      </c>
      <c r="E786" s="60" t="str">
        <f>IFERROR(__xludf.DUMMYFUNCTION("""COMPUTED_VALUE"""),"https://x.com/USAmbMalta")</f>
        <v>https://x.com/USAmbMalta</v>
      </c>
    </row>
    <row r="787">
      <c r="A787" s="59" t="str">
        <f>IFERROR(__xludf.DUMMYFUNCTION("""COMPUTED_VALUE"""),"EUR")</f>
        <v>EUR</v>
      </c>
      <c r="B787" s="59" t="str">
        <f>IFERROR(__xludf.DUMMYFUNCTION("""COMPUTED_VALUE"""),"Malta")</f>
        <v>Malta</v>
      </c>
      <c r="C787" s="59" t="str">
        <f>IFERROR(__xludf.DUMMYFUNCTION("""COMPUTED_VALUE"""),"U.S. Embassy Valletta")</f>
        <v>U.S. Embassy Valletta</v>
      </c>
      <c r="D787" s="59" t="str">
        <f>IFERROR(__xludf.DUMMYFUNCTION("""COMPUTED_VALUE"""),"Facebook")</f>
        <v>Facebook</v>
      </c>
      <c r="E787" s="60" t="str">
        <f>IFERROR(__xludf.DUMMYFUNCTION("""COMPUTED_VALUE"""),"https://www.facebook.com/usembmalta/")</f>
        <v>https://www.facebook.com/usembmalta/</v>
      </c>
    </row>
    <row r="788">
      <c r="A788" s="59" t="str">
        <f>IFERROR(__xludf.DUMMYFUNCTION("""COMPUTED_VALUE"""),"EUR")</f>
        <v>EUR</v>
      </c>
      <c r="B788" s="59" t="str">
        <f>IFERROR(__xludf.DUMMYFUNCTION("""COMPUTED_VALUE"""),"Malta")</f>
        <v>Malta</v>
      </c>
      <c r="C788" s="59" t="str">
        <f>IFERROR(__xludf.DUMMYFUNCTION("""COMPUTED_VALUE"""),"U.S. Embassy Valletta")</f>
        <v>U.S. Embassy Valletta</v>
      </c>
      <c r="D788" s="59" t="str">
        <f>IFERROR(__xludf.DUMMYFUNCTION("""COMPUTED_VALUE"""),"X")</f>
        <v>X</v>
      </c>
      <c r="E788" s="60" t="str">
        <f>IFERROR(__xludf.DUMMYFUNCTION("""COMPUTED_VALUE"""),"https://x.com/usembmalta")</f>
        <v>https://x.com/usembmalta</v>
      </c>
    </row>
    <row r="789">
      <c r="A789" s="59" t="str">
        <f>IFERROR(__xludf.DUMMYFUNCTION("""COMPUTED_VALUE"""),"EUR")</f>
        <v>EUR</v>
      </c>
      <c r="B789" s="59" t="str">
        <f>IFERROR(__xludf.DUMMYFUNCTION("""COMPUTED_VALUE"""),"Malta")</f>
        <v>Malta</v>
      </c>
      <c r="C789" s="59" t="str">
        <f>IFERROR(__xludf.DUMMYFUNCTION("""COMPUTED_VALUE"""),"U.S. Embassy Valletta")</f>
        <v>U.S. Embassy Valletta</v>
      </c>
      <c r="D789" s="59" t="str">
        <f>IFERROR(__xludf.DUMMYFUNCTION("""COMPUTED_VALUE"""),"YouTube")</f>
        <v>YouTube</v>
      </c>
      <c r="E789" s="60" t="str">
        <f>IFERROR(__xludf.DUMMYFUNCTION("""COMPUTED_VALUE"""),"https://youtube.com/@usembmalta")</f>
        <v>https://youtube.com/@usembmalta</v>
      </c>
    </row>
    <row r="790">
      <c r="A790" s="59" t="str">
        <f>IFERROR(__xludf.DUMMYFUNCTION("""COMPUTED_VALUE"""),"EUR")</f>
        <v>EUR</v>
      </c>
      <c r="B790" s="59" t="str">
        <f>IFERROR(__xludf.DUMMYFUNCTION("""COMPUTED_VALUE"""),"Moldova")</f>
        <v>Moldova</v>
      </c>
      <c r="C790" s="59" t="str">
        <f>IFERROR(__xludf.DUMMYFUNCTION("""COMPUTED_VALUE"""),"U.S. Embassy Chisinau")</f>
        <v>U.S. Embassy Chisinau</v>
      </c>
      <c r="D790" s="59" t="str">
        <f>IFERROR(__xludf.DUMMYFUNCTION("""COMPUTED_VALUE"""),"Facebook")</f>
        <v>Facebook</v>
      </c>
      <c r="E790" s="60" t="str">
        <f>IFERROR(__xludf.DUMMYFUNCTION("""COMPUTED_VALUE"""),"https://www.facebook.com/U.S.EmbassyMoldova/")</f>
        <v>https://www.facebook.com/U.S.EmbassyMoldova/</v>
      </c>
    </row>
    <row r="791">
      <c r="A791" s="59" t="str">
        <f>IFERROR(__xludf.DUMMYFUNCTION("""COMPUTED_VALUE"""),"EUR")</f>
        <v>EUR</v>
      </c>
      <c r="B791" s="59" t="str">
        <f>IFERROR(__xludf.DUMMYFUNCTION("""COMPUTED_VALUE"""),"Moldova")</f>
        <v>Moldova</v>
      </c>
      <c r="C791" s="59" t="str">
        <f>IFERROR(__xludf.DUMMYFUNCTION("""COMPUTED_VALUE"""),"U.S. Embassy Chisinau")</f>
        <v>U.S. Embassy Chisinau</v>
      </c>
      <c r="D791" s="59" t="str">
        <f>IFERROR(__xludf.DUMMYFUNCTION("""COMPUTED_VALUE"""),"Instagram")</f>
        <v>Instagram</v>
      </c>
      <c r="E791" s="60" t="str">
        <f>IFERROR(__xludf.DUMMYFUNCTION("""COMPUTED_VALUE"""),"https://www.instagram.com/usembassymoldova")</f>
        <v>https://www.instagram.com/usembassymoldova</v>
      </c>
    </row>
    <row r="792">
      <c r="A792" s="59" t="str">
        <f>IFERROR(__xludf.DUMMYFUNCTION("""COMPUTED_VALUE"""),"EUR")</f>
        <v>EUR</v>
      </c>
      <c r="B792" s="59" t="str">
        <f>IFERROR(__xludf.DUMMYFUNCTION("""COMPUTED_VALUE"""),"Moldova")</f>
        <v>Moldova</v>
      </c>
      <c r="C792" s="59" t="str">
        <f>IFERROR(__xludf.DUMMYFUNCTION("""COMPUTED_VALUE"""),"U.S. Embassy Chisinau")</f>
        <v>U.S. Embassy Chisinau</v>
      </c>
      <c r="D792" s="59" t="str">
        <f>IFERROR(__xludf.DUMMYFUNCTION("""COMPUTED_VALUE"""),"X")</f>
        <v>X</v>
      </c>
      <c r="E792" s="60" t="str">
        <f>IFERROR(__xludf.DUMMYFUNCTION("""COMPUTED_VALUE"""),"https://x.com/USembMoldova")</f>
        <v>https://x.com/USembMoldova</v>
      </c>
    </row>
    <row r="793">
      <c r="A793" s="59" t="str">
        <f>IFERROR(__xludf.DUMMYFUNCTION("""COMPUTED_VALUE"""),"EUR")</f>
        <v>EUR</v>
      </c>
      <c r="B793" s="59" t="str">
        <f>IFERROR(__xludf.DUMMYFUNCTION("""COMPUTED_VALUE"""),"Moldova")</f>
        <v>Moldova</v>
      </c>
      <c r="C793" s="59" t="str">
        <f>IFERROR(__xludf.DUMMYFUNCTION("""COMPUTED_VALUE"""),"U.S. Embassy Chisinau")</f>
        <v>U.S. Embassy Chisinau</v>
      </c>
      <c r="D793" s="59" t="str">
        <f>IFERROR(__xludf.DUMMYFUNCTION("""COMPUTED_VALUE"""),"YouTube")</f>
        <v>YouTube</v>
      </c>
      <c r="E793" s="60" t="str">
        <f>IFERROR(__xludf.DUMMYFUNCTION("""COMPUTED_VALUE"""),"youtube.com/user/USembassyMoldova")</f>
        <v>youtube.com/user/USembassyMoldova</v>
      </c>
    </row>
    <row r="794">
      <c r="A794" s="59" t="str">
        <f>IFERROR(__xludf.DUMMYFUNCTION("""COMPUTED_VALUE"""),"EUR")</f>
        <v>EUR</v>
      </c>
      <c r="B794" s="59" t="str">
        <f>IFERROR(__xludf.DUMMYFUNCTION("""COMPUTED_VALUE"""),"Montenegro")</f>
        <v>Montenegro</v>
      </c>
      <c r="C794" s="59" t="str">
        <f>IFERROR(__xludf.DUMMYFUNCTION("""COMPUTED_VALUE"""),"U.S. Ambassador to Montenegro")</f>
        <v>U.S. Ambassador to Montenegro</v>
      </c>
      <c r="D794" s="59" t="str">
        <f>IFERROR(__xludf.DUMMYFUNCTION("""COMPUTED_VALUE"""),"Instagram")</f>
        <v>Instagram</v>
      </c>
      <c r="E794" s="60" t="str">
        <f>IFERROR(__xludf.DUMMYFUNCTION("""COMPUTED_VALUE"""),"https://www.instagram.com/us_ambassador_mne/")</f>
        <v>https://www.instagram.com/us_ambassador_mne/</v>
      </c>
    </row>
    <row r="795">
      <c r="A795" s="59" t="str">
        <f>IFERROR(__xludf.DUMMYFUNCTION("""COMPUTED_VALUE"""),"EUR")</f>
        <v>EUR</v>
      </c>
      <c r="B795" s="59" t="str">
        <f>IFERROR(__xludf.DUMMYFUNCTION("""COMPUTED_VALUE"""),"Montenegro")</f>
        <v>Montenegro</v>
      </c>
      <c r="C795" s="59" t="str">
        <f>IFERROR(__xludf.DUMMYFUNCTION("""COMPUTED_VALUE"""),"U.S. Ambassador to Montenegro")</f>
        <v>U.S. Ambassador to Montenegro</v>
      </c>
      <c r="D795" s="59" t="str">
        <f>IFERROR(__xludf.DUMMYFUNCTION("""COMPUTED_VALUE"""),"X")</f>
        <v>X</v>
      </c>
      <c r="E795" s="60" t="str">
        <f>IFERROR(__xludf.DUMMYFUNCTION("""COMPUTED_VALUE"""),"https://x.com/USAmbMNE")</f>
        <v>https://x.com/USAmbMNE</v>
      </c>
    </row>
    <row r="796">
      <c r="A796" s="59" t="str">
        <f>IFERROR(__xludf.DUMMYFUNCTION("""COMPUTED_VALUE"""),"EUR")</f>
        <v>EUR</v>
      </c>
      <c r="B796" s="59" t="str">
        <f>IFERROR(__xludf.DUMMYFUNCTION("""COMPUTED_VALUE"""),"Montenegro")</f>
        <v>Montenegro</v>
      </c>
      <c r="C796" s="59" t="str">
        <f>IFERROR(__xludf.DUMMYFUNCTION("""COMPUTED_VALUE"""),"U.S. Embassy Podgorica")</f>
        <v>U.S. Embassy Podgorica</v>
      </c>
      <c r="D796" s="59" t="str">
        <f>IFERROR(__xludf.DUMMYFUNCTION("""COMPUTED_VALUE"""),"Facebook")</f>
        <v>Facebook</v>
      </c>
      <c r="E796" s="60" t="str">
        <f>IFERROR(__xludf.DUMMYFUNCTION("""COMPUTED_VALUE"""),"https://www.facebook.com/montenegro.usembassy/")</f>
        <v>https://www.facebook.com/montenegro.usembassy/</v>
      </c>
    </row>
    <row r="797">
      <c r="A797" s="59" t="str">
        <f>IFERROR(__xludf.DUMMYFUNCTION("""COMPUTED_VALUE"""),"EUR")</f>
        <v>EUR</v>
      </c>
      <c r="B797" s="59" t="str">
        <f>IFERROR(__xludf.DUMMYFUNCTION("""COMPUTED_VALUE"""),"Montenegro")</f>
        <v>Montenegro</v>
      </c>
      <c r="C797" s="59" t="str">
        <f>IFERROR(__xludf.DUMMYFUNCTION("""COMPUTED_VALUE"""),"U.S. Embassy Podgorica")</f>
        <v>U.S. Embassy Podgorica</v>
      </c>
      <c r="D797" s="59" t="str">
        <f>IFERROR(__xludf.DUMMYFUNCTION("""COMPUTED_VALUE"""),"Instagram")</f>
        <v>Instagram</v>
      </c>
      <c r="E797" s="60" t="str">
        <f>IFERROR(__xludf.DUMMYFUNCTION("""COMPUTED_VALUE"""),"https://www.instagram.com/usa_in_mne/")</f>
        <v>https://www.instagram.com/usa_in_mne/</v>
      </c>
    </row>
    <row r="798">
      <c r="A798" s="59" t="str">
        <f>IFERROR(__xludf.DUMMYFUNCTION("""COMPUTED_VALUE"""),"EUR")</f>
        <v>EUR</v>
      </c>
      <c r="B798" s="59" t="str">
        <f>IFERROR(__xludf.DUMMYFUNCTION("""COMPUTED_VALUE"""),"Montenegro")</f>
        <v>Montenegro</v>
      </c>
      <c r="C798" s="59" t="str">
        <f>IFERROR(__xludf.DUMMYFUNCTION("""COMPUTED_VALUE"""),"U.S. Embassy Podgorica")</f>
        <v>U.S. Embassy Podgorica</v>
      </c>
      <c r="D798" s="59" t="str">
        <f>IFERROR(__xludf.DUMMYFUNCTION("""COMPUTED_VALUE"""),"X")</f>
        <v>X</v>
      </c>
      <c r="E798" s="60" t="str">
        <f>IFERROR(__xludf.DUMMYFUNCTION("""COMPUTED_VALUE"""),"https://x.com/USEmbassyMNE")</f>
        <v>https://x.com/USEmbassyMNE</v>
      </c>
    </row>
    <row r="799">
      <c r="A799" s="59" t="str">
        <f>IFERROR(__xludf.DUMMYFUNCTION("""COMPUTED_VALUE"""),"EUR")</f>
        <v>EUR</v>
      </c>
      <c r="B799" s="59" t="str">
        <f>IFERROR(__xludf.DUMMYFUNCTION("""COMPUTED_VALUE"""),"Montenegro")</f>
        <v>Montenegro</v>
      </c>
      <c r="C799" s="59" t="str">
        <f>IFERROR(__xludf.DUMMYFUNCTION("""COMPUTED_VALUE"""),"U.S. Embassy Podgorica")</f>
        <v>U.S. Embassy Podgorica</v>
      </c>
      <c r="D799" s="59" t="str">
        <f>IFERROR(__xludf.DUMMYFUNCTION("""COMPUTED_VALUE"""),"YouTube")</f>
        <v>YouTube</v>
      </c>
      <c r="E799" s="60" t="str">
        <f>IFERROR(__xludf.DUMMYFUNCTION("""COMPUTED_VALUE"""),"https://youtube.com/@USEmbassyPodgorica")</f>
        <v>https://youtube.com/@USEmbassyPodgorica</v>
      </c>
    </row>
    <row r="800">
      <c r="A800" s="59" t="str">
        <f>IFERROR(__xludf.DUMMYFUNCTION("""COMPUTED_VALUE"""),"EUR")</f>
        <v>EUR</v>
      </c>
      <c r="B800" s="59" t="str">
        <f>IFERROR(__xludf.DUMMYFUNCTION("""COMPUTED_VALUE"""),"Netherlands")</f>
        <v>Netherlands</v>
      </c>
      <c r="C800" s="59" t="str">
        <f>IFERROR(__xludf.DUMMYFUNCTION("""COMPUTED_VALUE"""),"U.S. Ambassador to the Netherlands")</f>
        <v>U.S. Ambassador to the Netherlands</v>
      </c>
      <c r="D800" s="59" t="str">
        <f>IFERROR(__xludf.DUMMYFUNCTION("""COMPUTED_VALUE"""),"X")</f>
        <v>X</v>
      </c>
      <c r="E800" s="60" t="str">
        <f>IFERROR(__xludf.DUMMYFUNCTION("""COMPUTED_VALUE"""),"https://x.com/usambnl")</f>
        <v>https://x.com/usambnl</v>
      </c>
    </row>
    <row r="801">
      <c r="A801" s="59" t="str">
        <f>IFERROR(__xludf.DUMMYFUNCTION("""COMPUTED_VALUE"""),"EUR")</f>
        <v>EUR</v>
      </c>
      <c r="B801" s="59" t="str">
        <f>IFERROR(__xludf.DUMMYFUNCTION("""COMPUTED_VALUE"""),"Netherlands")</f>
        <v>Netherlands</v>
      </c>
      <c r="C801" s="59" t="str">
        <f>IFERROR(__xludf.DUMMYFUNCTION("""COMPUTED_VALUE"""),"U.S. Consulate General Amsterdam")</f>
        <v>U.S. Consulate General Amsterdam</v>
      </c>
      <c r="D801" s="59" t="str">
        <f>IFERROR(__xludf.DUMMYFUNCTION("""COMPUTED_VALUE"""),"Facebook")</f>
        <v>Facebook</v>
      </c>
      <c r="E801" s="60" t="str">
        <f>IFERROR(__xludf.DUMMYFUNCTION("""COMPUTED_VALUE"""),"https://www.facebook.com/USConGenAmsterdam/")</f>
        <v>https://www.facebook.com/USConGenAmsterdam/</v>
      </c>
    </row>
    <row r="802">
      <c r="A802" s="59" t="str">
        <f>IFERROR(__xludf.DUMMYFUNCTION("""COMPUTED_VALUE"""),"EUR")</f>
        <v>EUR</v>
      </c>
      <c r="B802" s="59" t="str">
        <f>IFERROR(__xludf.DUMMYFUNCTION("""COMPUTED_VALUE"""),"Netherlands")</f>
        <v>Netherlands</v>
      </c>
      <c r="C802" s="59" t="str">
        <f>IFERROR(__xludf.DUMMYFUNCTION("""COMPUTED_VALUE"""),"U.S. Consulate General Amsterdam")</f>
        <v>U.S. Consulate General Amsterdam</v>
      </c>
      <c r="D802" s="59" t="str">
        <f>IFERROR(__xludf.DUMMYFUNCTION("""COMPUTED_VALUE"""),"Instagram")</f>
        <v>Instagram</v>
      </c>
      <c r="E802" s="60" t="str">
        <f>IFERROR(__xludf.DUMMYFUNCTION("""COMPUTED_VALUE"""),"https://www.instagram.com/uscongenams")</f>
        <v>https://www.instagram.com/uscongenams</v>
      </c>
    </row>
    <row r="803">
      <c r="A803" s="59" t="str">
        <f>IFERROR(__xludf.DUMMYFUNCTION("""COMPUTED_VALUE"""),"EUR")</f>
        <v>EUR</v>
      </c>
      <c r="B803" s="59" t="str">
        <f>IFERROR(__xludf.DUMMYFUNCTION("""COMPUTED_VALUE"""),"Netherlands")</f>
        <v>Netherlands</v>
      </c>
      <c r="C803" s="59" t="str">
        <f>IFERROR(__xludf.DUMMYFUNCTION("""COMPUTED_VALUE"""),"U.S. Consulate General Amsterdam")</f>
        <v>U.S. Consulate General Amsterdam</v>
      </c>
      <c r="D803" s="59" t="str">
        <f>IFERROR(__xludf.DUMMYFUNCTION("""COMPUTED_VALUE"""),"X")</f>
        <v>X</v>
      </c>
      <c r="E803" s="60" t="str">
        <f>IFERROR(__xludf.DUMMYFUNCTION("""COMPUTED_VALUE"""),"https://x.com/ConGenAMS")</f>
        <v>https://x.com/ConGenAMS</v>
      </c>
    </row>
    <row r="804">
      <c r="A804" s="59" t="str">
        <f>IFERROR(__xludf.DUMMYFUNCTION("""COMPUTED_VALUE"""),"EUR")</f>
        <v>EUR</v>
      </c>
      <c r="B804" s="59" t="str">
        <f>IFERROR(__xludf.DUMMYFUNCTION("""COMPUTED_VALUE"""),"Netherlands")</f>
        <v>Netherlands</v>
      </c>
      <c r="C804" s="59" t="str">
        <f>IFERROR(__xludf.DUMMYFUNCTION("""COMPUTED_VALUE"""),"U.S. Consulate General Amsterdam")</f>
        <v>U.S. Consulate General Amsterdam</v>
      </c>
      <c r="D804" s="59" t="str">
        <f>IFERROR(__xludf.DUMMYFUNCTION("""COMPUTED_VALUE"""),"YouTube")</f>
        <v>YouTube</v>
      </c>
      <c r="E804" s="60" t="str">
        <f>IFERROR(__xludf.DUMMYFUNCTION("""COMPUTED_VALUE"""),"https://www.youtube.com/channel/UC9Ip5mWcNskswATEaErx7rw")</f>
        <v>https://www.youtube.com/channel/UC9Ip5mWcNskswATEaErx7rw</v>
      </c>
    </row>
    <row r="805">
      <c r="A805" s="59" t="str">
        <f>IFERROR(__xludf.DUMMYFUNCTION("""COMPUTED_VALUE"""),"EUR")</f>
        <v>EUR</v>
      </c>
      <c r="B805" s="59" t="str">
        <f>IFERROR(__xludf.DUMMYFUNCTION("""COMPUTED_VALUE"""),"Netherlands")</f>
        <v>Netherlands</v>
      </c>
      <c r="C805" s="59" t="str">
        <f>IFERROR(__xludf.DUMMYFUNCTION("""COMPUTED_VALUE"""),"U.S. Embassy The Hague")</f>
        <v>U.S. Embassy The Hague</v>
      </c>
      <c r="D805" s="59" t="str">
        <f>IFERROR(__xludf.DUMMYFUNCTION("""COMPUTED_VALUE"""),"Facebook")</f>
        <v>Facebook</v>
      </c>
      <c r="E805" s="60" t="str">
        <f>IFERROR(__xludf.DUMMYFUNCTION("""COMPUTED_VALUE"""),"https://www.facebook.com/USEmbassyNL/")</f>
        <v>https://www.facebook.com/USEmbassyNL/</v>
      </c>
    </row>
    <row r="806">
      <c r="A806" s="59" t="str">
        <f>IFERROR(__xludf.DUMMYFUNCTION("""COMPUTED_VALUE"""),"EUR")</f>
        <v>EUR</v>
      </c>
      <c r="B806" s="59" t="str">
        <f>IFERROR(__xludf.DUMMYFUNCTION("""COMPUTED_VALUE"""),"Netherlands")</f>
        <v>Netherlands</v>
      </c>
      <c r="C806" s="59" t="str">
        <f>IFERROR(__xludf.DUMMYFUNCTION("""COMPUTED_VALUE"""),"U.S. Embassy The Hague")</f>
        <v>U.S. Embassy The Hague</v>
      </c>
      <c r="D806" s="59" t="str">
        <f>IFERROR(__xludf.DUMMYFUNCTION("""COMPUTED_VALUE"""),"Instagram")</f>
        <v>Instagram</v>
      </c>
      <c r="E806" s="60" t="str">
        <f>IFERROR(__xludf.DUMMYFUNCTION("""COMPUTED_VALUE"""),"https://www.instagram.com/u.s.embassythehague")</f>
        <v>https://www.instagram.com/u.s.embassythehague</v>
      </c>
    </row>
    <row r="807">
      <c r="A807" s="59" t="str">
        <f>IFERROR(__xludf.DUMMYFUNCTION("""COMPUTED_VALUE"""),"EUR")</f>
        <v>EUR</v>
      </c>
      <c r="B807" s="59" t="str">
        <f>IFERROR(__xludf.DUMMYFUNCTION("""COMPUTED_VALUE"""),"Netherlands")</f>
        <v>Netherlands</v>
      </c>
      <c r="C807" s="59" t="str">
        <f>IFERROR(__xludf.DUMMYFUNCTION("""COMPUTED_VALUE"""),"U.S. Embassy The Hague")</f>
        <v>U.S. Embassy The Hague</v>
      </c>
      <c r="D807" s="59" t="str">
        <f>IFERROR(__xludf.DUMMYFUNCTION("""COMPUTED_VALUE"""),"X")</f>
        <v>X</v>
      </c>
      <c r="E807" s="60" t="str">
        <f>IFERROR(__xludf.DUMMYFUNCTION("""COMPUTED_VALUE"""),"https://x.com/usembthehague")</f>
        <v>https://x.com/usembthehague</v>
      </c>
    </row>
    <row r="808">
      <c r="A808" s="59" t="str">
        <f>IFERROR(__xludf.DUMMYFUNCTION("""COMPUTED_VALUE"""),"EUR")</f>
        <v>EUR</v>
      </c>
      <c r="B808" s="59" t="str">
        <f>IFERROR(__xludf.DUMMYFUNCTION("""COMPUTED_VALUE"""),"Netherlands")</f>
        <v>Netherlands</v>
      </c>
      <c r="C808" s="59" t="str">
        <f>IFERROR(__xludf.DUMMYFUNCTION("""COMPUTED_VALUE"""),"U.S. Embassy The Hague")</f>
        <v>U.S. Embassy The Hague</v>
      </c>
      <c r="D808" s="59" t="str">
        <f>IFERROR(__xludf.DUMMYFUNCTION("""COMPUTED_VALUE"""),"YouTube")</f>
        <v>YouTube</v>
      </c>
      <c r="E808" s="60" t="str">
        <f>IFERROR(__xludf.DUMMYFUNCTION("""COMPUTED_VALUE"""),"https://youtube.com/@usembthehague")</f>
        <v>https://youtube.com/@usembthehague</v>
      </c>
    </row>
    <row r="809">
      <c r="A809" s="59" t="str">
        <f>IFERROR(__xludf.DUMMYFUNCTION("""COMPUTED_VALUE"""),"EUR")</f>
        <v>EUR</v>
      </c>
      <c r="B809" s="59" t="str">
        <f>IFERROR(__xludf.DUMMYFUNCTION("""COMPUTED_VALUE"""),"Netherlands")</f>
        <v>Netherlands</v>
      </c>
      <c r="C809" s="59" t="str">
        <f>IFERROR(__xludf.DUMMYFUNCTION("""COMPUTED_VALUE"""),"U.S. Embassy The Hague")</f>
        <v>U.S. Embassy The Hague</v>
      </c>
      <c r="D809" s="59" t="str">
        <f>IFERROR(__xludf.DUMMYFUNCTION("""COMPUTED_VALUE"""),"LinkedIn")</f>
        <v>LinkedIn</v>
      </c>
      <c r="E809" s="60" t="str">
        <f>IFERROR(__xludf.DUMMYFUNCTION("""COMPUTED_VALUE"""),"https://www.linkedin.com/showcase/u-s-embassy-the-hague-the-netherlands/")</f>
        <v>https://www.linkedin.com/showcase/u-s-embassy-the-hague-the-netherlands/</v>
      </c>
    </row>
    <row r="810">
      <c r="A810" s="59" t="str">
        <f>IFERROR(__xludf.DUMMYFUNCTION("""COMPUTED_VALUE"""),"EUR")</f>
        <v>EUR</v>
      </c>
      <c r="B810" s="59" t="str">
        <f>IFERROR(__xludf.DUMMYFUNCTION("""COMPUTED_VALUE"""),"North Macedonia")</f>
        <v>North Macedonia</v>
      </c>
      <c r="C810" s="59" t="str">
        <f>IFERROR(__xludf.DUMMYFUNCTION("""COMPUTED_VALUE"""),"U.S. Ambassador to North Macedonia")</f>
        <v>U.S. Ambassador to North Macedonia</v>
      </c>
      <c r="D810" s="59" t="str">
        <f>IFERROR(__xludf.DUMMYFUNCTION("""COMPUTED_VALUE"""),"X")</f>
        <v>X</v>
      </c>
      <c r="E810" s="60" t="str">
        <f>IFERROR(__xludf.DUMMYFUNCTION("""COMPUTED_VALUE"""),"https://x.com/USAmbNMacedonia")</f>
        <v>https://x.com/USAmbNMacedonia</v>
      </c>
    </row>
    <row r="811">
      <c r="A811" s="59" t="str">
        <f>IFERROR(__xludf.DUMMYFUNCTION("""COMPUTED_VALUE"""),"EUR")</f>
        <v>EUR</v>
      </c>
      <c r="B811" s="59" t="str">
        <f>IFERROR(__xludf.DUMMYFUNCTION("""COMPUTED_VALUE"""),"North Macedonia")</f>
        <v>North Macedonia</v>
      </c>
      <c r="C811" s="59" t="str">
        <f>IFERROR(__xludf.DUMMYFUNCTION("""COMPUTED_VALUE"""),"U.S. Embassy Skopje")</f>
        <v>U.S. Embassy Skopje</v>
      </c>
      <c r="D811" s="59" t="str">
        <f>IFERROR(__xludf.DUMMYFUNCTION("""COMPUTED_VALUE"""),"Facebook")</f>
        <v>Facebook</v>
      </c>
      <c r="E811" s="60" t="str">
        <f>IFERROR(__xludf.DUMMYFUNCTION("""COMPUTED_VALUE"""),"https://www.facebook.com/USEmbassySkopje/")</f>
        <v>https://www.facebook.com/USEmbassySkopje/</v>
      </c>
    </row>
    <row r="812">
      <c r="A812" s="59" t="str">
        <f>IFERROR(__xludf.DUMMYFUNCTION("""COMPUTED_VALUE"""),"EUR")</f>
        <v>EUR</v>
      </c>
      <c r="B812" s="59" t="str">
        <f>IFERROR(__xludf.DUMMYFUNCTION("""COMPUTED_VALUE"""),"North Macedonia")</f>
        <v>North Macedonia</v>
      </c>
      <c r="C812" s="59" t="str">
        <f>IFERROR(__xludf.DUMMYFUNCTION("""COMPUTED_VALUE"""),"U.S. Embassy Skopje")</f>
        <v>U.S. Embassy Skopje</v>
      </c>
      <c r="D812" s="59" t="str">
        <f>IFERROR(__xludf.DUMMYFUNCTION("""COMPUTED_VALUE"""),"Instagram")</f>
        <v>Instagram</v>
      </c>
      <c r="E812" s="60" t="str">
        <f>IFERROR(__xludf.DUMMYFUNCTION("""COMPUTED_VALUE"""),"https://www.instagram.com/usembassyskopje")</f>
        <v>https://www.instagram.com/usembassyskopje</v>
      </c>
    </row>
    <row r="813">
      <c r="A813" s="59" t="str">
        <f>IFERROR(__xludf.DUMMYFUNCTION("""COMPUTED_VALUE"""),"EUR")</f>
        <v>EUR</v>
      </c>
      <c r="B813" s="59" t="str">
        <f>IFERROR(__xludf.DUMMYFUNCTION("""COMPUTED_VALUE"""),"North Macedonia")</f>
        <v>North Macedonia</v>
      </c>
      <c r="C813" s="59" t="str">
        <f>IFERROR(__xludf.DUMMYFUNCTION("""COMPUTED_VALUE"""),"U.S. Embassy Skopje")</f>
        <v>U.S. Embassy Skopje</v>
      </c>
      <c r="D813" s="59" t="str">
        <f>IFERROR(__xludf.DUMMYFUNCTION("""COMPUTED_VALUE"""),"X")</f>
        <v>X</v>
      </c>
      <c r="E813" s="60" t="str">
        <f>IFERROR(__xludf.DUMMYFUNCTION("""COMPUTED_VALUE"""),"https://x.com/USEmbassySkopje")</f>
        <v>https://x.com/USEmbassySkopje</v>
      </c>
    </row>
    <row r="814">
      <c r="A814" s="59" t="str">
        <f>IFERROR(__xludf.DUMMYFUNCTION("""COMPUTED_VALUE"""),"EUR")</f>
        <v>EUR</v>
      </c>
      <c r="B814" s="59" t="str">
        <f>IFERROR(__xludf.DUMMYFUNCTION("""COMPUTED_VALUE"""),"North Macedonia")</f>
        <v>North Macedonia</v>
      </c>
      <c r="C814" s="59" t="str">
        <f>IFERROR(__xludf.DUMMYFUNCTION("""COMPUTED_VALUE"""),"U.S. Embassy Skopje")</f>
        <v>U.S. Embassy Skopje</v>
      </c>
      <c r="D814" s="59" t="str">
        <f>IFERROR(__xludf.DUMMYFUNCTION("""COMPUTED_VALUE"""),"YouTube")</f>
        <v>YouTube</v>
      </c>
      <c r="E814" s="60" t="str">
        <f>IFERROR(__xludf.DUMMYFUNCTION("""COMPUTED_VALUE"""),"https://youtube.com/@USEmbassyinNorthMacedonia")</f>
        <v>https://youtube.com/@USEmbassyinNorthMacedonia</v>
      </c>
    </row>
    <row r="815">
      <c r="A815" s="59" t="str">
        <f>IFERROR(__xludf.DUMMYFUNCTION("""COMPUTED_VALUE"""),"EUR")</f>
        <v>EUR</v>
      </c>
      <c r="B815" s="59" t="str">
        <f>IFERROR(__xludf.DUMMYFUNCTION("""COMPUTED_VALUE"""),"Norway")</f>
        <v>Norway</v>
      </c>
      <c r="C815" s="59" t="str">
        <f>IFERROR(__xludf.DUMMYFUNCTION("""COMPUTED_VALUE"""),"U.S. Embassy Oslo")</f>
        <v>U.S. Embassy Oslo</v>
      </c>
      <c r="D815" s="59" t="str">
        <f>IFERROR(__xludf.DUMMYFUNCTION("""COMPUTED_VALUE"""),"Facebook")</f>
        <v>Facebook</v>
      </c>
      <c r="E815" s="60" t="str">
        <f>IFERROR(__xludf.DUMMYFUNCTION("""COMPUTED_VALUE"""),"https://www.facebook.com/usembassyoslo/")</f>
        <v>https://www.facebook.com/usembassyoslo/</v>
      </c>
    </row>
    <row r="816">
      <c r="A816" s="59" t="str">
        <f>IFERROR(__xludf.DUMMYFUNCTION("""COMPUTED_VALUE"""),"EUR")</f>
        <v>EUR</v>
      </c>
      <c r="B816" s="59" t="str">
        <f>IFERROR(__xludf.DUMMYFUNCTION("""COMPUTED_VALUE"""),"Norway")</f>
        <v>Norway</v>
      </c>
      <c r="C816" s="59" t="str">
        <f>IFERROR(__xludf.DUMMYFUNCTION("""COMPUTED_VALUE"""),"U.S. Embassy Oslo")</f>
        <v>U.S. Embassy Oslo</v>
      </c>
      <c r="D816" s="59" t="str">
        <f>IFERROR(__xludf.DUMMYFUNCTION("""COMPUTED_VALUE"""),"Instagram")</f>
        <v>Instagram</v>
      </c>
      <c r="E816" s="60" t="str">
        <f>IFERROR(__xludf.DUMMYFUNCTION("""COMPUTED_VALUE"""),"https://www.instagram.com/usembassyoslo")</f>
        <v>https://www.instagram.com/usembassyoslo</v>
      </c>
    </row>
    <row r="817">
      <c r="A817" s="59" t="str">
        <f>IFERROR(__xludf.DUMMYFUNCTION("""COMPUTED_VALUE"""),"EUR")</f>
        <v>EUR</v>
      </c>
      <c r="B817" s="59" t="str">
        <f>IFERROR(__xludf.DUMMYFUNCTION("""COMPUTED_VALUE"""),"Norway")</f>
        <v>Norway</v>
      </c>
      <c r="C817" s="59" t="str">
        <f>IFERROR(__xludf.DUMMYFUNCTION("""COMPUTED_VALUE"""),"U.S. Embassy Oslo")</f>
        <v>U.S. Embassy Oslo</v>
      </c>
      <c r="D817" s="59" t="str">
        <f>IFERROR(__xludf.DUMMYFUNCTION("""COMPUTED_VALUE"""),"X")</f>
        <v>X</v>
      </c>
      <c r="E817" s="60" t="str">
        <f>IFERROR(__xludf.DUMMYFUNCTION("""COMPUTED_VALUE"""),"https://x.com/usembassyoslo")</f>
        <v>https://x.com/usembassyoslo</v>
      </c>
    </row>
    <row r="818">
      <c r="A818" s="59" t="str">
        <f>IFERROR(__xludf.DUMMYFUNCTION("""COMPUTED_VALUE"""),"EUR")</f>
        <v>EUR</v>
      </c>
      <c r="B818" s="59" t="str">
        <f>IFERROR(__xludf.DUMMYFUNCTION("""COMPUTED_VALUE"""),"Norway")</f>
        <v>Norway</v>
      </c>
      <c r="C818" s="59" t="str">
        <f>IFERROR(__xludf.DUMMYFUNCTION("""COMPUTED_VALUE"""),"U.S. Embassy Oslo")</f>
        <v>U.S. Embassy Oslo</v>
      </c>
      <c r="D818" s="59" t="str">
        <f>IFERROR(__xludf.DUMMYFUNCTION("""COMPUTED_VALUE"""),"YouTube")</f>
        <v>YouTube</v>
      </c>
      <c r="E818" s="60" t="str">
        <f>IFERROR(__xludf.DUMMYFUNCTION("""COMPUTED_VALUE"""),"https://youtube.com/@usembassynorway")</f>
        <v>https://youtube.com/@usembassynorway</v>
      </c>
    </row>
    <row r="819">
      <c r="A819" s="59" t="str">
        <f>IFERROR(__xludf.DUMMYFUNCTION("""COMPUTED_VALUE"""),"EUR")</f>
        <v>EUR</v>
      </c>
      <c r="B819" s="59" t="str">
        <f>IFERROR(__xludf.DUMMYFUNCTION("""COMPUTED_VALUE"""),"Norway")</f>
        <v>Norway</v>
      </c>
      <c r="C819" s="59" t="str">
        <f>IFERROR(__xludf.DUMMYFUNCTION("""COMPUTED_VALUE"""),"U.S. Embassy Oslo")</f>
        <v>U.S. Embassy Oslo</v>
      </c>
      <c r="D819" s="59" t="str">
        <f>IFERROR(__xludf.DUMMYFUNCTION("""COMPUTED_VALUE"""),"LinkedIn")</f>
        <v>LinkedIn</v>
      </c>
      <c r="E819" s="60" t="str">
        <f>IFERROR(__xludf.DUMMYFUNCTION("""COMPUTED_VALUE"""),"https://www.linkedin.com/company/us-embassy-oslo/")</f>
        <v>https://www.linkedin.com/company/us-embassy-oslo/</v>
      </c>
    </row>
    <row r="820">
      <c r="A820" s="59" t="str">
        <f>IFERROR(__xludf.DUMMYFUNCTION("""COMPUTED_VALUE"""),"EUR")</f>
        <v>EUR</v>
      </c>
      <c r="B820" s="59" t="str">
        <f>IFERROR(__xludf.DUMMYFUNCTION("""COMPUTED_VALUE"""),"Poland")</f>
        <v>Poland</v>
      </c>
      <c r="C820" s="59" t="str">
        <f>IFERROR(__xludf.DUMMYFUNCTION("""COMPUTED_VALUE"""),"U.S. Ambassador to Poland")</f>
        <v>U.S. Ambassador to Poland</v>
      </c>
      <c r="D820" s="59" t="str">
        <f>IFERROR(__xludf.DUMMYFUNCTION("""COMPUTED_VALUE"""),"Instagram")</f>
        <v>Instagram</v>
      </c>
      <c r="E820" s="60" t="str">
        <f>IFERROR(__xludf.DUMMYFUNCTION("""COMPUTED_VALUE"""),"https://www.instagram.com/usambassadortopoland/")</f>
        <v>https://www.instagram.com/usambassadortopoland/</v>
      </c>
    </row>
    <row r="821">
      <c r="A821" s="59" t="str">
        <f>IFERROR(__xludf.DUMMYFUNCTION("""COMPUTED_VALUE"""),"EUR")</f>
        <v>EUR</v>
      </c>
      <c r="B821" s="59" t="str">
        <f>IFERROR(__xludf.DUMMYFUNCTION("""COMPUTED_VALUE"""),"Poland")</f>
        <v>Poland</v>
      </c>
      <c r="C821" s="59" t="str">
        <f>IFERROR(__xludf.DUMMYFUNCTION("""COMPUTED_VALUE"""),"U.S. Ambassador to Poland")</f>
        <v>U.S. Ambassador to Poland</v>
      </c>
      <c r="D821" s="59" t="str">
        <f>IFERROR(__xludf.DUMMYFUNCTION("""COMPUTED_VALUE"""),"X")</f>
        <v>X</v>
      </c>
      <c r="E821" s="60" t="str">
        <f>IFERROR(__xludf.DUMMYFUNCTION("""COMPUTED_VALUE"""),"https://x.com/USAmbPoland")</f>
        <v>https://x.com/USAmbPoland</v>
      </c>
    </row>
    <row r="822">
      <c r="A822" s="59" t="str">
        <f>IFERROR(__xludf.DUMMYFUNCTION("""COMPUTED_VALUE"""),"EUR")</f>
        <v>EUR</v>
      </c>
      <c r="B822" s="59" t="str">
        <f>IFERROR(__xludf.DUMMYFUNCTION("""COMPUTED_VALUE"""),"Poland")</f>
        <v>Poland</v>
      </c>
      <c r="C822" s="59" t="str">
        <f>IFERROR(__xludf.DUMMYFUNCTION("""COMPUTED_VALUE"""),"U.S. Consulate General Krakow")</f>
        <v>U.S. Consulate General Krakow</v>
      </c>
      <c r="D822" s="59" t="str">
        <f>IFERROR(__xludf.DUMMYFUNCTION("""COMPUTED_VALUE"""),"Facebook")</f>
        <v>Facebook</v>
      </c>
      <c r="E822" s="60" t="str">
        <f>IFERROR(__xludf.DUMMYFUNCTION("""COMPUTED_VALUE"""),"https://www.facebook.com/krakow.usconsulate/")</f>
        <v>https://www.facebook.com/krakow.usconsulate/</v>
      </c>
    </row>
    <row r="823">
      <c r="A823" s="59" t="str">
        <f>IFERROR(__xludf.DUMMYFUNCTION("""COMPUTED_VALUE"""),"EUR")</f>
        <v>EUR</v>
      </c>
      <c r="B823" s="59" t="str">
        <f>IFERROR(__xludf.DUMMYFUNCTION("""COMPUTED_VALUE"""),"Poland")</f>
        <v>Poland</v>
      </c>
      <c r="C823" s="59" t="str">
        <f>IFERROR(__xludf.DUMMYFUNCTION("""COMPUTED_VALUE"""),"U.S. Consulate General Krakow")</f>
        <v>U.S. Consulate General Krakow</v>
      </c>
      <c r="D823" s="59" t="str">
        <f>IFERROR(__xludf.DUMMYFUNCTION("""COMPUTED_VALUE"""),"Instagram")</f>
        <v>Instagram</v>
      </c>
      <c r="E823" s="60" t="str">
        <f>IFERROR(__xludf.DUMMYFUNCTION("""COMPUTED_VALUE"""),"https://www.instagram.com/usakrakow")</f>
        <v>https://www.instagram.com/usakrakow</v>
      </c>
    </row>
    <row r="824">
      <c r="A824" s="59" t="str">
        <f>IFERROR(__xludf.DUMMYFUNCTION("""COMPUTED_VALUE"""),"EUR")</f>
        <v>EUR</v>
      </c>
      <c r="B824" s="59" t="str">
        <f>IFERROR(__xludf.DUMMYFUNCTION("""COMPUTED_VALUE"""),"Poland")</f>
        <v>Poland</v>
      </c>
      <c r="C824" s="59" t="str">
        <f>IFERROR(__xludf.DUMMYFUNCTION("""COMPUTED_VALUE"""),"U.S. Consulate General Krakow")</f>
        <v>U.S. Consulate General Krakow</v>
      </c>
      <c r="D824" s="59" t="str">
        <f>IFERROR(__xludf.DUMMYFUNCTION("""COMPUTED_VALUE"""),"X")</f>
        <v>X</v>
      </c>
      <c r="E824" s="60" t="str">
        <f>IFERROR(__xludf.DUMMYFUNCTION("""COMPUTED_VALUE"""),"https://x.com/USConsKrakow")</f>
        <v>https://x.com/USConsKrakow</v>
      </c>
    </row>
    <row r="825">
      <c r="A825" s="59" t="str">
        <f>IFERROR(__xludf.DUMMYFUNCTION("""COMPUTED_VALUE"""),"EUR")</f>
        <v>EUR</v>
      </c>
      <c r="B825" s="59" t="str">
        <f>IFERROR(__xludf.DUMMYFUNCTION("""COMPUTED_VALUE"""),"Poland")</f>
        <v>Poland</v>
      </c>
      <c r="C825" s="59" t="str">
        <f>IFERROR(__xludf.DUMMYFUNCTION("""COMPUTED_VALUE"""),"U.S. Consulate General Krakow")</f>
        <v>U.S. Consulate General Krakow</v>
      </c>
      <c r="D825" s="59" t="str">
        <f>IFERROR(__xludf.DUMMYFUNCTION("""COMPUTED_VALUE"""),"YouTube")</f>
        <v>YouTube</v>
      </c>
      <c r="E825" s="60" t="str">
        <f>IFERROR(__xludf.DUMMYFUNCTION("""COMPUTED_VALUE"""),"youtube.com/user/KrakowAIRC")</f>
        <v>youtube.com/user/KrakowAIRC</v>
      </c>
    </row>
    <row r="826">
      <c r="A826" s="59" t="str">
        <f>IFERROR(__xludf.DUMMYFUNCTION("""COMPUTED_VALUE"""),"EUR")</f>
        <v>EUR</v>
      </c>
      <c r="B826" s="59" t="str">
        <f>IFERROR(__xludf.DUMMYFUNCTION("""COMPUTED_VALUE"""),"Poland")</f>
        <v>Poland</v>
      </c>
      <c r="C826" s="59" t="str">
        <f>IFERROR(__xludf.DUMMYFUNCTION("""COMPUTED_VALUE"""),"U.S. Embassy Warsaw")</f>
        <v>U.S. Embassy Warsaw</v>
      </c>
      <c r="D826" s="59" t="str">
        <f>IFERROR(__xludf.DUMMYFUNCTION("""COMPUTED_VALUE"""),"Facebook")</f>
        <v>Facebook</v>
      </c>
      <c r="E826" s="60" t="str">
        <f>IFERROR(__xludf.DUMMYFUNCTION("""COMPUTED_VALUE"""),"https://www.facebook.com/USEmbassyWarsaw/")</f>
        <v>https://www.facebook.com/USEmbassyWarsaw/</v>
      </c>
    </row>
    <row r="827">
      <c r="A827" s="59" t="str">
        <f>IFERROR(__xludf.DUMMYFUNCTION("""COMPUTED_VALUE"""),"EUR")</f>
        <v>EUR</v>
      </c>
      <c r="B827" s="59" t="str">
        <f>IFERROR(__xludf.DUMMYFUNCTION("""COMPUTED_VALUE"""),"Poland")</f>
        <v>Poland</v>
      </c>
      <c r="C827" s="59" t="str">
        <f>IFERROR(__xludf.DUMMYFUNCTION("""COMPUTED_VALUE"""),"U.S. Embassy Warsaw")</f>
        <v>U.S. Embassy Warsaw</v>
      </c>
      <c r="D827" s="59" t="str">
        <f>IFERROR(__xludf.DUMMYFUNCTION("""COMPUTED_VALUE"""),"Instagram")</f>
        <v>Instagram</v>
      </c>
      <c r="E827" s="60" t="str">
        <f>IFERROR(__xludf.DUMMYFUNCTION("""COMPUTED_VALUE"""),"https://www.instagram.com/usembassywarsaw/")</f>
        <v>https://www.instagram.com/usembassywarsaw/</v>
      </c>
    </row>
    <row r="828">
      <c r="A828" s="59" t="str">
        <f>IFERROR(__xludf.DUMMYFUNCTION("""COMPUTED_VALUE"""),"EUR")</f>
        <v>EUR</v>
      </c>
      <c r="B828" s="59" t="str">
        <f>IFERROR(__xludf.DUMMYFUNCTION("""COMPUTED_VALUE"""),"Poland")</f>
        <v>Poland</v>
      </c>
      <c r="C828" s="59" t="str">
        <f>IFERROR(__xludf.DUMMYFUNCTION("""COMPUTED_VALUE"""),"U.S. Embassy Warsaw")</f>
        <v>U.S. Embassy Warsaw</v>
      </c>
      <c r="D828" s="59" t="str">
        <f>IFERROR(__xludf.DUMMYFUNCTION("""COMPUTED_VALUE"""),"X")</f>
        <v>X</v>
      </c>
      <c r="E828" s="60" t="str">
        <f>IFERROR(__xludf.DUMMYFUNCTION("""COMPUTED_VALUE"""),"https://x.com/USEmbassyWarsaw")</f>
        <v>https://x.com/USEmbassyWarsaw</v>
      </c>
    </row>
    <row r="829">
      <c r="A829" s="59" t="str">
        <f>IFERROR(__xludf.DUMMYFUNCTION("""COMPUTED_VALUE"""),"EUR")</f>
        <v>EUR</v>
      </c>
      <c r="B829" s="59" t="str">
        <f>IFERROR(__xludf.DUMMYFUNCTION("""COMPUTED_VALUE"""),"Poland")</f>
        <v>Poland</v>
      </c>
      <c r="C829" s="59" t="str">
        <f>IFERROR(__xludf.DUMMYFUNCTION("""COMPUTED_VALUE"""),"U.S. Embassy Warsaw")</f>
        <v>U.S. Embassy Warsaw</v>
      </c>
      <c r="D829" s="59" t="str">
        <f>IFERROR(__xludf.DUMMYFUNCTION("""COMPUTED_VALUE"""),"LinkedIn")</f>
        <v>LinkedIn</v>
      </c>
      <c r="E829" s="60" t="str">
        <f>IFERROR(__xludf.DUMMYFUNCTION("""COMPUTED_VALUE"""),"https://www.linkedin.com/company/u-s-embassy-warsaw/")</f>
        <v>https://www.linkedin.com/company/u-s-embassy-warsaw/</v>
      </c>
    </row>
    <row r="830">
      <c r="A830" s="59" t="str">
        <f>IFERROR(__xludf.DUMMYFUNCTION("""COMPUTED_VALUE"""),"EUR")</f>
        <v>EUR</v>
      </c>
      <c r="B830" s="59" t="str">
        <f>IFERROR(__xludf.DUMMYFUNCTION("""COMPUTED_VALUE"""),"Poland")</f>
        <v>Poland</v>
      </c>
      <c r="C830" s="59" t="str">
        <f>IFERROR(__xludf.DUMMYFUNCTION("""COMPUTED_VALUE"""),"U.S. Embassy Warsaw")</f>
        <v>U.S. Embassy Warsaw</v>
      </c>
      <c r="D830" s="59" t="str">
        <f>IFERROR(__xludf.DUMMYFUNCTION("""COMPUTED_VALUE"""),"YouTube")</f>
        <v>YouTube</v>
      </c>
      <c r="E830" s="60" t="str">
        <f>IFERROR(__xludf.DUMMYFUNCTION("""COMPUTED_VALUE"""),"https://youtube.com/@USEmbassyWarsaw")</f>
        <v>https://youtube.com/@USEmbassyWarsaw</v>
      </c>
    </row>
    <row r="831">
      <c r="A831" s="59" t="str">
        <f>IFERROR(__xludf.DUMMYFUNCTION("""COMPUTED_VALUE"""),"EUR")</f>
        <v>EUR</v>
      </c>
      <c r="B831" s="59" t="str">
        <f>IFERROR(__xludf.DUMMYFUNCTION("""COMPUTED_VALUE"""),"Portugal")</f>
        <v>Portugal</v>
      </c>
      <c r="C831" s="59" t="str">
        <f>IFERROR(__xludf.DUMMYFUNCTION("""COMPUTED_VALUE"""),"U.S. Ambassador to Portugal")</f>
        <v>U.S. Ambassador to Portugal</v>
      </c>
      <c r="D831" s="59" t="str">
        <f>IFERROR(__xludf.DUMMYFUNCTION("""COMPUTED_VALUE"""),"Instagram")</f>
        <v>Instagram</v>
      </c>
      <c r="E831" s="60" t="str">
        <f>IFERROR(__xludf.DUMMYFUNCTION("""COMPUTED_VALUE"""),"https://www.instagram.com/USAmbPortugal/")</f>
        <v>https://www.instagram.com/USAmbPortugal/</v>
      </c>
    </row>
    <row r="832">
      <c r="A832" s="59" t="str">
        <f>IFERROR(__xludf.DUMMYFUNCTION("""COMPUTED_VALUE"""),"EUR")</f>
        <v>EUR</v>
      </c>
      <c r="B832" s="59" t="str">
        <f>IFERROR(__xludf.DUMMYFUNCTION("""COMPUTED_VALUE"""),"Portugal")</f>
        <v>Portugal</v>
      </c>
      <c r="C832" s="59" t="str">
        <f>IFERROR(__xludf.DUMMYFUNCTION("""COMPUTED_VALUE"""),"U.S. Ambassador to Portugal")</f>
        <v>U.S. Ambassador to Portugal</v>
      </c>
      <c r="D832" s="59" t="str">
        <f>IFERROR(__xludf.DUMMYFUNCTION("""COMPUTED_VALUE"""),"X")</f>
        <v>X</v>
      </c>
      <c r="E832" s="60" t="str">
        <f>IFERROR(__xludf.DUMMYFUNCTION("""COMPUTED_VALUE"""),"https://x.com/USAmbPortugal")</f>
        <v>https://x.com/USAmbPortugal</v>
      </c>
    </row>
    <row r="833">
      <c r="A833" s="59" t="str">
        <f>IFERROR(__xludf.DUMMYFUNCTION("""COMPUTED_VALUE"""),"EUR")</f>
        <v>EUR</v>
      </c>
      <c r="B833" s="59" t="str">
        <f>IFERROR(__xludf.DUMMYFUNCTION("""COMPUTED_VALUE"""),"Portugal")</f>
        <v>Portugal</v>
      </c>
      <c r="C833" s="59" t="str">
        <f>IFERROR(__xludf.DUMMYFUNCTION("""COMPUTED_VALUE"""),"U.S. Consulate Ponta Delgada")</f>
        <v>U.S. Consulate Ponta Delgada</v>
      </c>
      <c r="D833" s="59" t="str">
        <f>IFERROR(__xludf.DUMMYFUNCTION("""COMPUTED_VALUE"""),"Instagram")</f>
        <v>Instagram</v>
      </c>
      <c r="E833" s="60" t="str">
        <f>IFERROR(__xludf.DUMMYFUNCTION("""COMPUTED_VALUE"""),"https://www.instagram.com/usconsulazores/")</f>
        <v>https://www.instagram.com/usconsulazores/</v>
      </c>
    </row>
    <row r="834">
      <c r="A834" s="59" t="str">
        <f>IFERROR(__xludf.DUMMYFUNCTION("""COMPUTED_VALUE"""),"EUR")</f>
        <v>EUR</v>
      </c>
      <c r="B834" s="59" t="str">
        <f>IFERROR(__xludf.DUMMYFUNCTION("""COMPUTED_VALUE"""),"Portugal")</f>
        <v>Portugal</v>
      </c>
      <c r="C834" s="59" t="str">
        <f>IFERROR(__xludf.DUMMYFUNCTION("""COMPUTED_VALUE"""),"U.S. Embassy Lisbon")</f>
        <v>U.S. Embassy Lisbon</v>
      </c>
      <c r="D834" s="59" t="str">
        <f>IFERROR(__xludf.DUMMYFUNCTION("""COMPUTED_VALUE"""),"Facebook")</f>
        <v>Facebook</v>
      </c>
      <c r="E834" s="60" t="str">
        <f>IFERROR(__xludf.DUMMYFUNCTION("""COMPUTED_VALUE"""),"https://www.facebook.com/usdos.portugal/")</f>
        <v>https://www.facebook.com/usdos.portugal/</v>
      </c>
    </row>
    <row r="835">
      <c r="A835" s="59" t="str">
        <f>IFERROR(__xludf.DUMMYFUNCTION("""COMPUTED_VALUE"""),"EUR")</f>
        <v>EUR</v>
      </c>
      <c r="B835" s="59" t="str">
        <f>IFERROR(__xludf.DUMMYFUNCTION("""COMPUTED_VALUE"""),"Portugal")</f>
        <v>Portugal</v>
      </c>
      <c r="C835" s="59" t="str">
        <f>IFERROR(__xludf.DUMMYFUNCTION("""COMPUTED_VALUE"""),"U.S. Embassy Lisbon")</f>
        <v>U.S. Embassy Lisbon</v>
      </c>
      <c r="D835" s="59" t="str">
        <f>IFERROR(__xludf.DUMMYFUNCTION("""COMPUTED_VALUE"""),"Instagram")</f>
        <v>Instagram</v>
      </c>
      <c r="E835" s="60" t="str">
        <f>IFERROR(__xludf.DUMMYFUNCTION("""COMPUTED_VALUE"""),"https://www.instagram.com/USembPortugal/")</f>
        <v>https://www.instagram.com/USembPortugal/</v>
      </c>
    </row>
    <row r="836">
      <c r="A836" s="59" t="str">
        <f>IFERROR(__xludf.DUMMYFUNCTION("""COMPUTED_VALUE"""),"EUR")</f>
        <v>EUR</v>
      </c>
      <c r="B836" s="59" t="str">
        <f>IFERROR(__xludf.DUMMYFUNCTION("""COMPUTED_VALUE"""),"Portugal")</f>
        <v>Portugal</v>
      </c>
      <c r="C836" s="59" t="str">
        <f>IFERROR(__xludf.DUMMYFUNCTION("""COMPUTED_VALUE"""),"U.S. Embassy Lisbon")</f>
        <v>U.S. Embassy Lisbon</v>
      </c>
      <c r="D836" s="59" t="str">
        <f>IFERROR(__xludf.DUMMYFUNCTION("""COMPUTED_VALUE"""),"LinkedIn")</f>
        <v>LinkedIn</v>
      </c>
      <c r="E836" s="60" t="str">
        <f>IFERROR(__xludf.DUMMYFUNCTION("""COMPUTED_VALUE"""),"https://www.linkedin.com/company/usembassylisbon/")</f>
        <v>https://www.linkedin.com/company/usembassylisbon/</v>
      </c>
    </row>
    <row r="837">
      <c r="A837" s="59" t="str">
        <f>IFERROR(__xludf.DUMMYFUNCTION("""COMPUTED_VALUE"""),"EUR")</f>
        <v>EUR</v>
      </c>
      <c r="B837" s="59" t="str">
        <f>IFERROR(__xludf.DUMMYFUNCTION("""COMPUTED_VALUE"""),"Portugal")</f>
        <v>Portugal</v>
      </c>
      <c r="C837" s="59" t="str">
        <f>IFERROR(__xludf.DUMMYFUNCTION("""COMPUTED_VALUE"""),"U.S. Embassy Lisbon")</f>
        <v>U.S. Embassy Lisbon</v>
      </c>
      <c r="D837" s="59" t="str">
        <f>IFERROR(__xludf.DUMMYFUNCTION("""COMPUTED_VALUE"""),"X")</f>
        <v>X</v>
      </c>
      <c r="E837" s="60" t="str">
        <f>IFERROR(__xludf.DUMMYFUNCTION("""COMPUTED_VALUE"""),"https://x.com/USEmbPortugal")</f>
        <v>https://x.com/USEmbPortugal</v>
      </c>
    </row>
    <row r="838">
      <c r="A838" s="59" t="str">
        <f>IFERROR(__xludf.DUMMYFUNCTION("""COMPUTED_VALUE"""),"EUR")</f>
        <v>EUR</v>
      </c>
      <c r="B838" s="59" t="str">
        <f>IFERROR(__xludf.DUMMYFUNCTION("""COMPUTED_VALUE"""),"Portugal")</f>
        <v>Portugal</v>
      </c>
      <c r="C838" s="59" t="str">
        <f>IFERROR(__xludf.DUMMYFUNCTION("""COMPUTED_VALUE"""),"U.S. Embassy Lisbon")</f>
        <v>U.S. Embassy Lisbon</v>
      </c>
      <c r="D838" s="59" t="str">
        <f>IFERROR(__xludf.DUMMYFUNCTION("""COMPUTED_VALUE"""),"YouTube")</f>
        <v>YouTube</v>
      </c>
      <c r="E838" s="60" t="str">
        <f>IFERROR(__xludf.DUMMYFUNCTION("""COMPUTED_VALUE"""),"https://youtube.com/@usembassyportugal")</f>
        <v>https://youtube.com/@usembassyportugal</v>
      </c>
    </row>
    <row r="839">
      <c r="A839" s="59" t="str">
        <f>IFERROR(__xludf.DUMMYFUNCTION("""COMPUTED_VALUE"""),"EUR")</f>
        <v>EUR</v>
      </c>
      <c r="B839" s="59" t="str">
        <f>IFERROR(__xludf.DUMMYFUNCTION("""COMPUTED_VALUE"""),"Romania")</f>
        <v>Romania</v>
      </c>
      <c r="C839" s="59" t="str">
        <f>IFERROR(__xludf.DUMMYFUNCTION("""COMPUTED_VALUE"""),"U.S. Ambassador to Romania")</f>
        <v>U.S. Ambassador to Romania</v>
      </c>
      <c r="D839" s="59" t="str">
        <f>IFERROR(__xludf.DUMMYFUNCTION("""COMPUTED_VALUE"""),"X")</f>
        <v>X</v>
      </c>
      <c r="E839" s="60" t="str">
        <f>IFERROR(__xludf.DUMMYFUNCTION("""COMPUTED_VALUE"""),"https://x.com/usambro")</f>
        <v>https://x.com/usambro</v>
      </c>
    </row>
    <row r="840">
      <c r="A840" s="59" t="str">
        <f>IFERROR(__xludf.DUMMYFUNCTION("""COMPUTED_VALUE"""),"EUR")</f>
        <v>EUR</v>
      </c>
      <c r="B840" s="59" t="str">
        <f>IFERROR(__xludf.DUMMYFUNCTION("""COMPUTED_VALUE"""),"Romania")</f>
        <v>Romania</v>
      </c>
      <c r="C840" s="59" t="str">
        <f>IFERROR(__xludf.DUMMYFUNCTION("""COMPUTED_VALUE"""),"U.S. Embassy Bucharest")</f>
        <v>U.S. Embassy Bucharest</v>
      </c>
      <c r="D840" s="59" t="str">
        <f>IFERROR(__xludf.DUMMYFUNCTION("""COMPUTED_VALUE"""),"Facebook")</f>
        <v>Facebook</v>
      </c>
      <c r="E840" s="60" t="str">
        <f>IFERROR(__xludf.DUMMYFUNCTION("""COMPUTED_VALUE"""),"https://www.facebook.com/bucharest.usembassy/")</f>
        <v>https://www.facebook.com/bucharest.usembassy/</v>
      </c>
    </row>
    <row r="841">
      <c r="A841" s="59" t="str">
        <f>IFERROR(__xludf.DUMMYFUNCTION("""COMPUTED_VALUE"""),"EUR")</f>
        <v>EUR</v>
      </c>
      <c r="B841" s="59" t="str">
        <f>IFERROR(__xludf.DUMMYFUNCTION("""COMPUTED_VALUE"""),"Romania")</f>
        <v>Romania</v>
      </c>
      <c r="C841" s="59" t="str">
        <f>IFERROR(__xludf.DUMMYFUNCTION("""COMPUTED_VALUE"""),"U.S. Embassy Bucharest")</f>
        <v>U.S. Embassy Bucharest</v>
      </c>
      <c r="D841" s="59" t="str">
        <f>IFERROR(__xludf.DUMMYFUNCTION("""COMPUTED_VALUE"""),"Instagram")</f>
        <v>Instagram</v>
      </c>
      <c r="E841" s="60" t="str">
        <f>IFERROR(__xludf.DUMMYFUNCTION("""COMPUTED_VALUE"""),"https://www.instagram.com/usembassybucharest")</f>
        <v>https://www.instagram.com/usembassybucharest</v>
      </c>
    </row>
    <row r="842">
      <c r="A842" s="59" t="str">
        <f>IFERROR(__xludf.DUMMYFUNCTION("""COMPUTED_VALUE"""),"EUR")</f>
        <v>EUR</v>
      </c>
      <c r="B842" s="59" t="str">
        <f>IFERROR(__xludf.DUMMYFUNCTION("""COMPUTED_VALUE"""),"Romania")</f>
        <v>Romania</v>
      </c>
      <c r="C842" s="59" t="str">
        <f>IFERROR(__xludf.DUMMYFUNCTION("""COMPUTED_VALUE"""),"U.S. Embassy Bucharest")</f>
        <v>U.S. Embassy Bucharest</v>
      </c>
      <c r="D842" s="59" t="str">
        <f>IFERROR(__xludf.DUMMYFUNCTION("""COMPUTED_VALUE"""),"LinkedIn")</f>
        <v>LinkedIn</v>
      </c>
      <c r="E842" s="60" t="str">
        <f>IFERROR(__xludf.DUMMYFUNCTION("""COMPUTED_VALUE"""),"https://www.linkedin.com/company/u.s.-embassy-bucharest-romania/")</f>
        <v>https://www.linkedin.com/company/u.s.-embassy-bucharest-romania/</v>
      </c>
    </row>
    <row r="843">
      <c r="A843" s="59" t="str">
        <f>IFERROR(__xludf.DUMMYFUNCTION("""COMPUTED_VALUE"""),"EUR")</f>
        <v>EUR</v>
      </c>
      <c r="B843" s="59" t="str">
        <f>IFERROR(__xludf.DUMMYFUNCTION("""COMPUTED_VALUE"""),"Romania")</f>
        <v>Romania</v>
      </c>
      <c r="C843" s="59" t="str">
        <f>IFERROR(__xludf.DUMMYFUNCTION("""COMPUTED_VALUE"""),"U.S. Embassy Bucharest")</f>
        <v>U.S. Embassy Bucharest</v>
      </c>
      <c r="D843" s="59" t="str">
        <f>IFERROR(__xludf.DUMMYFUNCTION("""COMPUTED_VALUE"""),"X")</f>
        <v>X</v>
      </c>
      <c r="E843" s="60" t="str">
        <f>IFERROR(__xludf.DUMMYFUNCTION("""COMPUTED_VALUE"""),"https://x.com/AmbasadaSUA")</f>
        <v>https://x.com/AmbasadaSUA</v>
      </c>
    </row>
    <row r="844">
      <c r="A844" s="59" t="str">
        <f>IFERROR(__xludf.DUMMYFUNCTION("""COMPUTED_VALUE"""),"EUR")</f>
        <v>EUR</v>
      </c>
      <c r="B844" s="59" t="str">
        <f>IFERROR(__xludf.DUMMYFUNCTION("""COMPUTED_VALUE"""),"Romania")</f>
        <v>Romania</v>
      </c>
      <c r="C844" s="59" t="str">
        <f>IFERROR(__xludf.DUMMYFUNCTION("""COMPUTED_VALUE"""),"U.S. Embassy Bucharest")</f>
        <v>U.S. Embassy Bucharest</v>
      </c>
      <c r="D844" s="59" t="str">
        <f>IFERROR(__xludf.DUMMYFUNCTION("""COMPUTED_VALUE"""),"YouTube")</f>
        <v>YouTube</v>
      </c>
      <c r="E844" s="60" t="str">
        <f>IFERROR(__xludf.DUMMYFUNCTION("""COMPUTED_VALUE"""),"https://youtube.com/@embromania")</f>
        <v>https://youtube.com/@embromania</v>
      </c>
    </row>
    <row r="845">
      <c r="A845" s="59" t="str">
        <f>IFERROR(__xludf.DUMMYFUNCTION("""COMPUTED_VALUE"""),"EUR")</f>
        <v>EUR</v>
      </c>
      <c r="B845" s="59" t="str">
        <f>IFERROR(__xludf.DUMMYFUNCTION("""COMPUTED_VALUE"""),"Russia")</f>
        <v>Russia</v>
      </c>
      <c r="C845" s="59" t="str">
        <f>IFERROR(__xludf.DUMMYFUNCTION("""COMPUTED_VALUE"""),"U.S. Embassy Moscow")</f>
        <v>U.S. Embassy Moscow</v>
      </c>
      <c r="D845" s="59" t="str">
        <f>IFERROR(__xludf.DUMMYFUNCTION("""COMPUTED_VALUE"""),"Facebook")</f>
        <v>Facebook</v>
      </c>
      <c r="E845" s="60" t="str">
        <f>IFERROR(__xludf.DUMMYFUNCTION("""COMPUTED_VALUE"""),"https://www.facebook.com/russia.usembassy/")</f>
        <v>https://www.facebook.com/russia.usembassy/</v>
      </c>
    </row>
    <row r="846">
      <c r="A846" s="59" t="str">
        <f>IFERROR(__xludf.DUMMYFUNCTION("""COMPUTED_VALUE"""),"EUR")</f>
        <v>EUR</v>
      </c>
      <c r="B846" s="59" t="str">
        <f>IFERROR(__xludf.DUMMYFUNCTION("""COMPUTED_VALUE"""),"Russia")</f>
        <v>Russia</v>
      </c>
      <c r="C846" s="59" t="str">
        <f>IFERROR(__xludf.DUMMYFUNCTION("""COMPUTED_VALUE"""),"U.S. Embassy Moscow")</f>
        <v>U.S. Embassy Moscow</v>
      </c>
      <c r="D846" s="59" t="str">
        <f>IFERROR(__xludf.DUMMYFUNCTION("""COMPUTED_VALUE"""),"Instagram")</f>
        <v>Instagram</v>
      </c>
      <c r="E846" s="60" t="str">
        <f>IFERROR(__xludf.DUMMYFUNCTION("""COMPUTED_VALUE"""),"https://www.instagram.com/usaporusski/")</f>
        <v>https://www.instagram.com/usaporusski/</v>
      </c>
    </row>
    <row r="847">
      <c r="A847" s="59" t="str">
        <f>IFERROR(__xludf.DUMMYFUNCTION("""COMPUTED_VALUE"""),"EUR")</f>
        <v>EUR</v>
      </c>
      <c r="B847" s="59" t="str">
        <f>IFERROR(__xludf.DUMMYFUNCTION("""COMPUTED_VALUE"""),"Russia")</f>
        <v>Russia</v>
      </c>
      <c r="C847" s="59" t="str">
        <f>IFERROR(__xludf.DUMMYFUNCTION("""COMPUTED_VALUE"""),"U.S. Embassy Moscow")</f>
        <v>U.S. Embassy Moscow</v>
      </c>
      <c r="D847" s="59" t="str">
        <f>IFERROR(__xludf.DUMMYFUNCTION("""COMPUTED_VALUE"""),"Instagram")</f>
        <v>Instagram</v>
      </c>
      <c r="E847" s="60" t="str">
        <f>IFERROR(__xludf.DUMMYFUNCTION("""COMPUTED_VALUE"""),"https://www.instagram.com/usembru")</f>
        <v>https://www.instagram.com/usembru</v>
      </c>
    </row>
    <row r="848">
      <c r="A848" s="59" t="str">
        <f>IFERROR(__xludf.DUMMYFUNCTION("""COMPUTED_VALUE"""),"EUR")</f>
        <v>EUR</v>
      </c>
      <c r="B848" s="59" t="str">
        <f>IFERROR(__xludf.DUMMYFUNCTION("""COMPUTED_VALUE"""),"Russia")</f>
        <v>Russia</v>
      </c>
      <c r="C848" s="59" t="str">
        <f>IFERROR(__xludf.DUMMYFUNCTION("""COMPUTED_VALUE"""),"U.S. Embassy Moscow")</f>
        <v>U.S. Embassy Moscow</v>
      </c>
      <c r="D848" s="59" t="str">
        <f>IFERROR(__xludf.DUMMYFUNCTION("""COMPUTED_VALUE"""),"Telegram")</f>
        <v>Telegram</v>
      </c>
      <c r="E848" s="60" t="str">
        <f>IFERROR(__xludf.DUMMYFUNCTION("""COMPUTED_VALUE"""),"https://t.me/USEmbRussia")</f>
        <v>https://t.me/USEmbRussia</v>
      </c>
    </row>
    <row r="849">
      <c r="A849" s="59" t="str">
        <f>IFERROR(__xludf.DUMMYFUNCTION("""COMPUTED_VALUE"""),"EUR")</f>
        <v>EUR</v>
      </c>
      <c r="B849" s="59" t="str">
        <f>IFERROR(__xludf.DUMMYFUNCTION("""COMPUTED_VALUE"""),"Russia")</f>
        <v>Russia</v>
      </c>
      <c r="C849" s="59" t="str">
        <f>IFERROR(__xludf.DUMMYFUNCTION("""COMPUTED_VALUE"""),"U.S. Embassy Moscow")</f>
        <v>U.S. Embassy Moscow</v>
      </c>
      <c r="D849" s="59" t="str">
        <f>IFERROR(__xludf.DUMMYFUNCTION("""COMPUTED_VALUE"""),"Telegram")</f>
        <v>Telegram</v>
      </c>
      <c r="E849" s="60" t="str">
        <f>IFERROR(__xludf.DUMMYFUNCTION("""COMPUTED_VALUE"""),"https://t.me/USApoRusski")</f>
        <v>https://t.me/USApoRusski</v>
      </c>
    </row>
    <row r="850">
      <c r="A850" s="59" t="str">
        <f>IFERROR(__xludf.DUMMYFUNCTION("""COMPUTED_VALUE"""),"EUR")</f>
        <v>EUR</v>
      </c>
      <c r="B850" s="59" t="str">
        <f>IFERROR(__xludf.DUMMYFUNCTION("""COMPUTED_VALUE"""),"Russia")</f>
        <v>Russia</v>
      </c>
      <c r="C850" s="59" t="str">
        <f>IFERROR(__xludf.DUMMYFUNCTION("""COMPUTED_VALUE"""),"U.S. Embassy Moscow")</f>
        <v>U.S. Embassy Moscow</v>
      </c>
      <c r="D850" s="59" t="str">
        <f>IFERROR(__xludf.DUMMYFUNCTION("""COMPUTED_VALUE"""),"X")</f>
        <v>X</v>
      </c>
      <c r="E850" s="60" t="str">
        <f>IFERROR(__xludf.DUMMYFUNCTION("""COMPUTED_VALUE"""),"https://x.com/USEmbRu")</f>
        <v>https://x.com/USEmbRu</v>
      </c>
    </row>
    <row r="851">
      <c r="A851" s="59" t="str">
        <f>IFERROR(__xludf.DUMMYFUNCTION("""COMPUTED_VALUE"""),"EUR")</f>
        <v>EUR</v>
      </c>
      <c r="B851" s="59" t="str">
        <f>IFERROR(__xludf.DUMMYFUNCTION("""COMPUTED_VALUE"""),"Russia")</f>
        <v>Russia</v>
      </c>
      <c r="C851" s="59" t="str">
        <f>IFERROR(__xludf.DUMMYFUNCTION("""COMPUTED_VALUE"""),"U.S. Embassy Moscow")</f>
        <v>U.S. Embassy Moscow</v>
      </c>
      <c r="D851" s="59" t="str">
        <f>IFERROR(__xludf.DUMMYFUNCTION("""COMPUTED_VALUE"""),"VKontakte")</f>
        <v>VKontakte</v>
      </c>
      <c r="E851" s="60" t="str">
        <f>IFERROR(__xludf.DUMMYFUNCTION("""COMPUTED_VALUE"""),"https://vk.com/usembru")</f>
        <v>https://vk.com/usembru</v>
      </c>
    </row>
    <row r="852">
      <c r="A852" s="59" t="str">
        <f>IFERROR(__xludf.DUMMYFUNCTION("""COMPUTED_VALUE"""),"EUR")</f>
        <v>EUR</v>
      </c>
      <c r="B852" s="59" t="str">
        <f>IFERROR(__xludf.DUMMYFUNCTION("""COMPUTED_VALUE"""),"Russia")</f>
        <v>Russia</v>
      </c>
      <c r="C852" s="59" t="str">
        <f>IFERROR(__xludf.DUMMYFUNCTION("""COMPUTED_VALUE"""),"U.S. Embassy Moscow")</f>
        <v>U.S. Embassy Moscow</v>
      </c>
      <c r="D852" s="59" t="str">
        <f>IFERROR(__xludf.DUMMYFUNCTION("""COMPUTED_VALUE"""),"YouTube")</f>
        <v>YouTube</v>
      </c>
      <c r="E852" s="60" t="str">
        <f>IFERROR(__xludf.DUMMYFUNCTION("""COMPUTED_VALUE"""),"youtube.com/user/usembassyru")</f>
        <v>youtube.com/user/usembassyru</v>
      </c>
    </row>
    <row r="853">
      <c r="A853" s="59" t="str">
        <f>IFERROR(__xludf.DUMMYFUNCTION("""COMPUTED_VALUE"""),"EUR")</f>
        <v>EUR</v>
      </c>
      <c r="B853" s="59" t="str">
        <f>IFERROR(__xludf.DUMMYFUNCTION("""COMPUTED_VALUE"""),"Serbia")</f>
        <v>Serbia</v>
      </c>
      <c r="C853" s="59" t="str">
        <f>IFERROR(__xludf.DUMMYFUNCTION("""COMPUTED_VALUE"""),"U.S. Ambassador to Serbia")</f>
        <v>U.S. Ambassador to Serbia</v>
      </c>
      <c r="D853" s="59" t="str">
        <f>IFERROR(__xludf.DUMMYFUNCTION("""COMPUTED_VALUE"""),"X")</f>
        <v>X</v>
      </c>
      <c r="E853" s="60" t="str">
        <f>IFERROR(__xludf.DUMMYFUNCTION("""COMPUTED_VALUE"""),"https://x.com/usambserbia")</f>
        <v>https://x.com/usambserbia</v>
      </c>
    </row>
    <row r="854">
      <c r="A854" s="59" t="str">
        <f>IFERROR(__xludf.DUMMYFUNCTION("""COMPUTED_VALUE"""),"EUR")</f>
        <v>EUR</v>
      </c>
      <c r="B854" s="59" t="str">
        <f>IFERROR(__xludf.DUMMYFUNCTION("""COMPUTED_VALUE"""),"Serbia")</f>
        <v>Serbia</v>
      </c>
      <c r="C854" s="59" t="str">
        <f>IFERROR(__xludf.DUMMYFUNCTION("""COMPUTED_VALUE"""),"U.S. Embassy Belgrade")</f>
        <v>U.S. Embassy Belgrade</v>
      </c>
      <c r="D854" s="59" t="str">
        <f>IFERROR(__xludf.DUMMYFUNCTION("""COMPUTED_VALUE"""),"Facebook")</f>
        <v>Facebook</v>
      </c>
      <c r="E854" s="60" t="str">
        <f>IFERROR(__xludf.DUMMYFUNCTION("""COMPUTED_VALUE"""),"https://www.facebook.com/USEmbassySerbia/")</f>
        <v>https://www.facebook.com/USEmbassySerbia/</v>
      </c>
    </row>
    <row r="855">
      <c r="A855" s="59" t="str">
        <f>IFERROR(__xludf.DUMMYFUNCTION("""COMPUTED_VALUE"""),"EUR")</f>
        <v>EUR</v>
      </c>
      <c r="B855" s="59" t="str">
        <f>IFERROR(__xludf.DUMMYFUNCTION("""COMPUTED_VALUE"""),"Serbia")</f>
        <v>Serbia</v>
      </c>
      <c r="C855" s="59" t="str">
        <f>IFERROR(__xludf.DUMMYFUNCTION("""COMPUTED_VALUE"""),"U.S. Embassy Belgrade")</f>
        <v>U.S. Embassy Belgrade</v>
      </c>
      <c r="D855" s="59" t="str">
        <f>IFERROR(__xludf.DUMMYFUNCTION("""COMPUTED_VALUE"""),"Instagram")</f>
        <v>Instagram</v>
      </c>
      <c r="E855" s="60" t="str">
        <f>IFERROR(__xludf.DUMMYFUNCTION("""COMPUTED_VALUE"""),"https://www.instagram.com/usembassyserbia")</f>
        <v>https://www.instagram.com/usembassyserbia</v>
      </c>
    </row>
    <row r="856">
      <c r="A856" s="59" t="str">
        <f>IFERROR(__xludf.DUMMYFUNCTION("""COMPUTED_VALUE"""),"EUR")</f>
        <v>EUR</v>
      </c>
      <c r="B856" s="59" t="str">
        <f>IFERROR(__xludf.DUMMYFUNCTION("""COMPUTED_VALUE"""),"Serbia")</f>
        <v>Serbia</v>
      </c>
      <c r="C856" s="59" t="str">
        <f>IFERROR(__xludf.DUMMYFUNCTION("""COMPUTED_VALUE"""),"U.S. Embassy Belgrade")</f>
        <v>U.S. Embassy Belgrade</v>
      </c>
      <c r="D856" s="59" t="str">
        <f>IFERROR(__xludf.DUMMYFUNCTION("""COMPUTED_VALUE"""),"LinkedIn")</f>
        <v>LinkedIn</v>
      </c>
      <c r="E856" s="60" t="str">
        <f>IFERROR(__xludf.DUMMYFUNCTION("""COMPUTED_VALUE"""),"https://www.linkedin.com/showcase/u-s-embassy-belgrade-serbia/")</f>
        <v>https://www.linkedin.com/showcase/u-s-embassy-belgrade-serbia/</v>
      </c>
    </row>
    <row r="857">
      <c r="A857" s="59" t="str">
        <f>IFERROR(__xludf.DUMMYFUNCTION("""COMPUTED_VALUE"""),"EUR")</f>
        <v>EUR</v>
      </c>
      <c r="B857" s="59" t="str">
        <f>IFERROR(__xludf.DUMMYFUNCTION("""COMPUTED_VALUE"""),"Serbia")</f>
        <v>Serbia</v>
      </c>
      <c r="C857" s="59" t="str">
        <f>IFERROR(__xludf.DUMMYFUNCTION("""COMPUTED_VALUE"""),"U.S. Embassy Belgrade")</f>
        <v>U.S. Embassy Belgrade</v>
      </c>
      <c r="D857" s="59" t="str">
        <f>IFERROR(__xludf.DUMMYFUNCTION("""COMPUTED_VALUE"""),"X")</f>
        <v>X</v>
      </c>
      <c r="E857" s="60" t="str">
        <f>IFERROR(__xludf.DUMMYFUNCTION("""COMPUTED_VALUE"""),"https://x.com/USEmbassySerbia")</f>
        <v>https://x.com/USEmbassySerbia</v>
      </c>
    </row>
    <row r="858">
      <c r="A858" s="59" t="str">
        <f>IFERROR(__xludf.DUMMYFUNCTION("""COMPUTED_VALUE"""),"EUR")</f>
        <v>EUR</v>
      </c>
      <c r="B858" s="59" t="str">
        <f>IFERROR(__xludf.DUMMYFUNCTION("""COMPUTED_VALUE"""),"Serbia")</f>
        <v>Serbia</v>
      </c>
      <c r="C858" s="59" t="str">
        <f>IFERROR(__xludf.DUMMYFUNCTION("""COMPUTED_VALUE"""),"U.S. Embassy Belgrade")</f>
        <v>U.S. Embassy Belgrade</v>
      </c>
      <c r="D858" s="59" t="str">
        <f>IFERROR(__xludf.DUMMYFUNCTION("""COMPUTED_VALUE"""),"YouTube")</f>
        <v>YouTube</v>
      </c>
      <c r="E858" s="60" t="str">
        <f>IFERROR(__xludf.DUMMYFUNCTION("""COMPUTED_VALUE"""),"youtube.com/user/usembassybelgrade")</f>
        <v>youtube.com/user/usembassybelgrade</v>
      </c>
    </row>
    <row r="859">
      <c r="A859" s="59" t="str">
        <f>IFERROR(__xludf.DUMMYFUNCTION("""COMPUTED_VALUE"""),"EUR")</f>
        <v>EUR</v>
      </c>
      <c r="B859" s="59" t="str">
        <f>IFERROR(__xludf.DUMMYFUNCTION("""COMPUTED_VALUE"""),"Slovakia")</f>
        <v>Slovakia</v>
      </c>
      <c r="C859" s="59" t="str">
        <f>IFERROR(__xludf.DUMMYFUNCTION("""COMPUTED_VALUE"""),"U.S. Embassy Bratislava")</f>
        <v>U.S. Embassy Bratislava</v>
      </c>
      <c r="D859" s="59" t="str">
        <f>IFERROR(__xludf.DUMMYFUNCTION("""COMPUTED_VALUE"""),"Facebook")</f>
        <v>Facebook</v>
      </c>
      <c r="E859" s="60" t="str">
        <f>IFERROR(__xludf.DUMMYFUNCTION("""COMPUTED_VALUE"""),"https://www.facebook.com/USEmbassySlovakia/")</f>
        <v>https://www.facebook.com/USEmbassySlovakia/</v>
      </c>
    </row>
    <row r="860">
      <c r="A860" s="59" t="str">
        <f>IFERROR(__xludf.DUMMYFUNCTION("""COMPUTED_VALUE"""),"EUR")</f>
        <v>EUR</v>
      </c>
      <c r="B860" s="59" t="str">
        <f>IFERROR(__xludf.DUMMYFUNCTION("""COMPUTED_VALUE"""),"Slovakia")</f>
        <v>Slovakia</v>
      </c>
      <c r="C860" s="59" t="str">
        <f>IFERROR(__xludf.DUMMYFUNCTION("""COMPUTED_VALUE"""),"U.S. Embassy Bratislava")</f>
        <v>U.S. Embassy Bratislava</v>
      </c>
      <c r="D860" s="59" t="str">
        <f>IFERROR(__xludf.DUMMYFUNCTION("""COMPUTED_VALUE"""),"Instagram")</f>
        <v>Instagram</v>
      </c>
      <c r="E860" s="60" t="str">
        <f>IFERROR(__xludf.DUMMYFUNCTION("""COMPUTED_VALUE"""),"https://www.instagram.com/usembassyslovakia/")</f>
        <v>https://www.instagram.com/usembassyslovakia/</v>
      </c>
    </row>
    <row r="861">
      <c r="A861" s="59" t="str">
        <f>IFERROR(__xludf.DUMMYFUNCTION("""COMPUTED_VALUE"""),"EUR")</f>
        <v>EUR</v>
      </c>
      <c r="B861" s="59" t="str">
        <f>IFERROR(__xludf.DUMMYFUNCTION("""COMPUTED_VALUE"""),"Slovakia")</f>
        <v>Slovakia</v>
      </c>
      <c r="C861" s="59" t="str">
        <f>IFERROR(__xludf.DUMMYFUNCTION("""COMPUTED_VALUE"""),"U.S. Embassy Bratislava")</f>
        <v>U.S. Embassy Bratislava</v>
      </c>
      <c r="D861" s="59" t="str">
        <f>IFERROR(__xludf.DUMMYFUNCTION("""COMPUTED_VALUE"""),"X")</f>
        <v>X</v>
      </c>
      <c r="E861" s="60" t="str">
        <f>IFERROR(__xludf.DUMMYFUNCTION("""COMPUTED_VALUE"""),"https://x.com/USEmbassySK")</f>
        <v>https://x.com/USEmbassySK</v>
      </c>
    </row>
    <row r="862">
      <c r="A862" s="59" t="str">
        <f>IFERROR(__xludf.DUMMYFUNCTION("""COMPUTED_VALUE"""),"EUR")</f>
        <v>EUR</v>
      </c>
      <c r="B862" s="59" t="str">
        <f>IFERROR(__xludf.DUMMYFUNCTION("""COMPUTED_VALUE"""),"Slovakia")</f>
        <v>Slovakia</v>
      </c>
      <c r="C862" s="59" t="str">
        <f>IFERROR(__xludf.DUMMYFUNCTION("""COMPUTED_VALUE"""),"U.S. Embassy Bratislava")</f>
        <v>U.S. Embassy Bratislava</v>
      </c>
      <c r="D862" s="59" t="str">
        <f>IFERROR(__xludf.DUMMYFUNCTION("""COMPUTED_VALUE"""),"YouTube")</f>
        <v>YouTube</v>
      </c>
      <c r="E862" s="60" t="str">
        <f>IFERROR(__xludf.DUMMYFUNCTION("""COMPUTED_VALUE"""),"https://youtube.com/@USEMBBratislava")</f>
        <v>https://youtube.com/@USEMBBratislava</v>
      </c>
    </row>
    <row r="863">
      <c r="A863" s="59" t="str">
        <f>IFERROR(__xludf.DUMMYFUNCTION("""COMPUTED_VALUE"""),"EUR")</f>
        <v>EUR</v>
      </c>
      <c r="B863" s="59" t="str">
        <f>IFERROR(__xludf.DUMMYFUNCTION("""COMPUTED_VALUE"""),"Slovakia")</f>
        <v>Slovakia</v>
      </c>
      <c r="C863" s="59" t="str">
        <f>IFERROR(__xludf.DUMMYFUNCTION("""COMPUTED_VALUE"""),"U.S. Embassy Slovakia")</f>
        <v>U.S. Embassy Slovakia</v>
      </c>
      <c r="D863" s="59" t="str">
        <f>IFERROR(__xludf.DUMMYFUNCTION("""COMPUTED_VALUE"""),"Flickr")</f>
        <v>Flickr</v>
      </c>
      <c r="E863" s="60" t="str">
        <f>IFERROR(__xludf.DUMMYFUNCTION("""COMPUTED_VALUE"""),"https://www.flickr.com/photos/usembassyslovakia/")</f>
        <v>https://www.flickr.com/photos/usembassyslovakia/</v>
      </c>
    </row>
    <row r="864">
      <c r="A864" s="59" t="str">
        <f>IFERROR(__xludf.DUMMYFUNCTION("""COMPUTED_VALUE"""),"EUR")</f>
        <v>EUR</v>
      </c>
      <c r="B864" s="59" t="str">
        <f>IFERROR(__xludf.DUMMYFUNCTION("""COMPUTED_VALUE"""),"Slovenia")</f>
        <v>Slovenia</v>
      </c>
      <c r="C864" s="59" t="str">
        <f>IFERROR(__xludf.DUMMYFUNCTION("""COMPUTED_VALUE"""),"U.S. Ambassador to Slovenia")</f>
        <v>U.S. Ambassador to Slovenia</v>
      </c>
      <c r="D864" s="59" t="str">
        <f>IFERROR(__xludf.DUMMYFUNCTION("""COMPUTED_VALUE"""),"X")</f>
        <v>X</v>
      </c>
      <c r="E864" s="60" t="str">
        <f>IFERROR(__xludf.DUMMYFUNCTION("""COMPUTED_VALUE"""),"https://x.com/USAmbSlovenia")</f>
        <v>https://x.com/USAmbSlovenia</v>
      </c>
    </row>
    <row r="865">
      <c r="A865" s="59" t="str">
        <f>IFERROR(__xludf.DUMMYFUNCTION("""COMPUTED_VALUE"""),"EUR")</f>
        <v>EUR</v>
      </c>
      <c r="B865" s="59" t="str">
        <f>IFERROR(__xludf.DUMMYFUNCTION("""COMPUTED_VALUE"""),"Slovenia")</f>
        <v>Slovenia</v>
      </c>
      <c r="C865" s="59" t="str">
        <f>IFERROR(__xludf.DUMMYFUNCTION("""COMPUTED_VALUE"""),"U.S. Ambassador to Slovenia")</f>
        <v>U.S. Ambassador to Slovenia</v>
      </c>
      <c r="D865" s="59" t="str">
        <f>IFERROR(__xludf.DUMMYFUNCTION("""COMPUTED_VALUE"""),"Instagram")</f>
        <v>Instagram</v>
      </c>
      <c r="E865" s="60" t="str">
        <f>IFERROR(__xludf.DUMMYFUNCTION("""COMPUTED_VALUE"""),"https://www.instagram.com/usambslovenia/")</f>
        <v>https://www.instagram.com/usambslovenia/</v>
      </c>
    </row>
    <row r="866">
      <c r="A866" s="59" t="str">
        <f>IFERROR(__xludf.DUMMYFUNCTION("""COMPUTED_VALUE"""),"EUR")</f>
        <v>EUR</v>
      </c>
      <c r="B866" s="59" t="str">
        <f>IFERROR(__xludf.DUMMYFUNCTION("""COMPUTED_VALUE"""),"Slovenia")</f>
        <v>Slovenia</v>
      </c>
      <c r="C866" s="59" t="str">
        <f>IFERROR(__xludf.DUMMYFUNCTION("""COMPUTED_VALUE"""),"U.S. Embassy Ljubljana")</f>
        <v>U.S. Embassy Ljubljana</v>
      </c>
      <c r="D866" s="59" t="str">
        <f>IFERROR(__xludf.DUMMYFUNCTION("""COMPUTED_VALUE"""),"Facebook")</f>
        <v>Facebook</v>
      </c>
      <c r="E866" s="60" t="str">
        <f>IFERROR(__xludf.DUMMYFUNCTION("""COMPUTED_VALUE"""),"https://www.facebook.com/slovenia.usembassy")</f>
        <v>https://www.facebook.com/slovenia.usembassy</v>
      </c>
    </row>
    <row r="867">
      <c r="A867" s="59" t="str">
        <f>IFERROR(__xludf.DUMMYFUNCTION("""COMPUTED_VALUE"""),"EUR")</f>
        <v>EUR</v>
      </c>
      <c r="B867" s="59" t="str">
        <f>IFERROR(__xludf.DUMMYFUNCTION("""COMPUTED_VALUE"""),"Slovenia")</f>
        <v>Slovenia</v>
      </c>
      <c r="C867" s="59" t="str">
        <f>IFERROR(__xludf.DUMMYFUNCTION("""COMPUTED_VALUE"""),"U.S. Embassy Ljubljana")</f>
        <v>U.S. Embassy Ljubljana</v>
      </c>
      <c r="D867" s="59" t="str">
        <f>IFERROR(__xludf.DUMMYFUNCTION("""COMPUTED_VALUE"""),"Instagram")</f>
        <v>Instagram</v>
      </c>
      <c r="E867" s="60" t="str">
        <f>IFERROR(__xludf.DUMMYFUNCTION("""COMPUTED_VALUE"""),"https://www.instagram.com/usembassyslo")</f>
        <v>https://www.instagram.com/usembassyslo</v>
      </c>
    </row>
    <row r="868">
      <c r="A868" s="59" t="str">
        <f>IFERROR(__xludf.DUMMYFUNCTION("""COMPUTED_VALUE"""),"EUR")</f>
        <v>EUR</v>
      </c>
      <c r="B868" s="59" t="str">
        <f>IFERROR(__xludf.DUMMYFUNCTION("""COMPUTED_VALUE"""),"Slovenia")</f>
        <v>Slovenia</v>
      </c>
      <c r="C868" s="59" t="str">
        <f>IFERROR(__xludf.DUMMYFUNCTION("""COMPUTED_VALUE"""),"U.S. Embassy Ljubljana")</f>
        <v>U.S. Embassy Ljubljana</v>
      </c>
      <c r="D868" s="59" t="str">
        <f>IFERROR(__xludf.DUMMYFUNCTION("""COMPUTED_VALUE"""),"X")</f>
        <v>X</v>
      </c>
      <c r="E868" s="60" t="str">
        <f>IFERROR(__xludf.DUMMYFUNCTION("""COMPUTED_VALUE"""),"https://x.com/USEmbassySLO")</f>
        <v>https://x.com/USEmbassySLO</v>
      </c>
    </row>
    <row r="869">
      <c r="A869" s="59" t="str">
        <f>IFERROR(__xludf.DUMMYFUNCTION("""COMPUTED_VALUE"""),"EUR")</f>
        <v>EUR</v>
      </c>
      <c r="B869" s="59" t="str">
        <f>IFERROR(__xludf.DUMMYFUNCTION("""COMPUTED_VALUE"""),"Slovenia")</f>
        <v>Slovenia</v>
      </c>
      <c r="C869" s="59" t="str">
        <f>IFERROR(__xludf.DUMMYFUNCTION("""COMPUTED_VALUE"""),"U.S. Embassy Ljubljana")</f>
        <v>U.S. Embassy Ljubljana</v>
      </c>
      <c r="D869" s="59" t="str">
        <f>IFERROR(__xludf.DUMMYFUNCTION("""COMPUTED_VALUE"""),"YouTube")</f>
        <v>YouTube</v>
      </c>
      <c r="E869" s="60" t="str">
        <f>IFERROR(__xludf.DUMMYFUNCTION("""COMPUTED_VALUE"""),"https://youtube.com/@USEmbassyLjubljana")</f>
        <v>https://youtube.com/@USEmbassyLjubljana</v>
      </c>
    </row>
    <row r="870">
      <c r="A870" s="59" t="str">
        <f>IFERROR(__xludf.DUMMYFUNCTION("""COMPUTED_VALUE"""),"EUR")</f>
        <v>EUR</v>
      </c>
      <c r="B870" s="59" t="str">
        <f>IFERROR(__xludf.DUMMYFUNCTION("""COMPUTED_VALUE"""),"Spain")</f>
        <v>Spain</v>
      </c>
      <c r="C870" s="59" t="str">
        <f>IFERROR(__xludf.DUMMYFUNCTION("""COMPUTED_VALUE"""),"U.S. Consulate General Barcelona")</f>
        <v>U.S. Consulate General Barcelona</v>
      </c>
      <c r="D870" s="59" t="str">
        <f>IFERROR(__xludf.DUMMYFUNCTION("""COMPUTED_VALUE"""),"Facebook")</f>
        <v>Facebook</v>
      </c>
      <c r="E870" s="60" t="str">
        <f>IFERROR(__xludf.DUMMYFUNCTION("""COMPUTED_VALUE"""),"https://www.facebook.com/USConsulateBCN/")</f>
        <v>https://www.facebook.com/USConsulateBCN/</v>
      </c>
    </row>
    <row r="871">
      <c r="A871" s="59" t="str">
        <f>IFERROR(__xludf.DUMMYFUNCTION("""COMPUTED_VALUE"""),"EUR")</f>
        <v>EUR</v>
      </c>
      <c r="B871" s="59" t="str">
        <f>IFERROR(__xludf.DUMMYFUNCTION("""COMPUTED_VALUE"""),"Spain")</f>
        <v>Spain</v>
      </c>
      <c r="C871" s="59" t="str">
        <f>IFERROR(__xludf.DUMMYFUNCTION("""COMPUTED_VALUE"""),"U.S. Consulate General Barcelona")</f>
        <v>U.S. Consulate General Barcelona</v>
      </c>
      <c r="D871" s="59" t="str">
        <f>IFERROR(__xludf.DUMMYFUNCTION("""COMPUTED_VALUE"""),"Instagram")</f>
        <v>Instagram</v>
      </c>
      <c r="E871" s="60" t="str">
        <f>IFERROR(__xludf.DUMMYFUNCTION("""COMPUTED_VALUE"""),"https://www.instagram.com/usconsulatebcn/")</f>
        <v>https://www.instagram.com/usconsulatebcn/</v>
      </c>
    </row>
    <row r="872">
      <c r="A872" s="59" t="str">
        <f>IFERROR(__xludf.DUMMYFUNCTION("""COMPUTED_VALUE"""),"EUR")</f>
        <v>EUR</v>
      </c>
      <c r="B872" s="59" t="str">
        <f>IFERROR(__xludf.DUMMYFUNCTION("""COMPUTED_VALUE"""),"Spain")</f>
        <v>Spain</v>
      </c>
      <c r="C872" s="59" t="str">
        <f>IFERROR(__xludf.DUMMYFUNCTION("""COMPUTED_VALUE"""),"U.S. Consulate General Barcelona")</f>
        <v>U.S. Consulate General Barcelona</v>
      </c>
      <c r="D872" s="59" t="str">
        <f>IFERROR(__xludf.DUMMYFUNCTION("""COMPUTED_VALUE"""),"LinkedIn")</f>
        <v>LinkedIn</v>
      </c>
      <c r="E872" s="60" t="str">
        <f>IFERROR(__xludf.DUMMYFUNCTION("""COMPUTED_VALUE"""),"https://www.linkedin.com/company/usconsulatebcn/")</f>
        <v>https://www.linkedin.com/company/usconsulatebcn/</v>
      </c>
    </row>
    <row r="873">
      <c r="A873" s="59" t="str">
        <f>IFERROR(__xludf.DUMMYFUNCTION("""COMPUTED_VALUE"""),"EUR")</f>
        <v>EUR</v>
      </c>
      <c r="B873" s="59" t="str">
        <f>IFERROR(__xludf.DUMMYFUNCTION("""COMPUTED_VALUE"""),"Spain")</f>
        <v>Spain</v>
      </c>
      <c r="C873" s="59" t="str">
        <f>IFERROR(__xludf.DUMMYFUNCTION("""COMPUTED_VALUE"""),"U.S. Consulate General Barcelona")</f>
        <v>U.S. Consulate General Barcelona</v>
      </c>
      <c r="D873" s="59" t="str">
        <f>IFERROR(__xludf.DUMMYFUNCTION("""COMPUTED_VALUE"""),"X")</f>
        <v>X</v>
      </c>
      <c r="E873" s="60" t="str">
        <f>IFERROR(__xludf.DUMMYFUNCTION("""COMPUTED_VALUE"""),"https://x.com/USConsulateBCN")</f>
        <v>https://x.com/USConsulateBCN</v>
      </c>
    </row>
    <row r="874">
      <c r="A874" s="59" t="str">
        <f>IFERROR(__xludf.DUMMYFUNCTION("""COMPUTED_VALUE"""),"EUR")</f>
        <v>EUR</v>
      </c>
      <c r="B874" s="59" t="str">
        <f>IFERROR(__xludf.DUMMYFUNCTION("""COMPUTED_VALUE"""),"Spain")</f>
        <v>Spain</v>
      </c>
      <c r="C874" s="59" t="str">
        <f>IFERROR(__xludf.DUMMYFUNCTION("""COMPUTED_VALUE"""),"U.S. Consulate General Barcelona")</f>
        <v>U.S. Consulate General Barcelona</v>
      </c>
      <c r="D874" s="59" t="str">
        <f>IFERROR(__xludf.DUMMYFUNCTION("""COMPUTED_VALUE"""),"YouTube")</f>
        <v>YouTube</v>
      </c>
      <c r="E874" s="60" t="str">
        <f>IFERROR(__xludf.DUMMYFUNCTION("""COMPUTED_VALUE"""),"https://www.youtube.com/@USConsulateBCN/videos")</f>
        <v>https://www.youtube.com/@USConsulateBCN/videos</v>
      </c>
    </row>
    <row r="875">
      <c r="A875" s="59" t="str">
        <f>IFERROR(__xludf.DUMMYFUNCTION("""COMPUTED_VALUE"""),"EUR")</f>
        <v>EUR</v>
      </c>
      <c r="B875" s="59" t="str">
        <f>IFERROR(__xludf.DUMMYFUNCTION("""COMPUTED_VALUE"""),"Spain")</f>
        <v>Spain</v>
      </c>
      <c r="C875" s="59" t="str">
        <f>IFERROR(__xludf.DUMMYFUNCTION("""COMPUTED_VALUE"""),"U.S. Embassy Madrid")</f>
        <v>U.S. Embassy Madrid</v>
      </c>
      <c r="D875" s="59" t="str">
        <f>IFERROR(__xludf.DUMMYFUNCTION("""COMPUTED_VALUE"""),"Facebook")</f>
        <v>Facebook</v>
      </c>
      <c r="E875" s="60" t="str">
        <f>IFERROR(__xludf.DUMMYFUNCTION("""COMPUTED_VALUE"""),"https://www.facebook.com/madrid.usembassy/")</f>
        <v>https://www.facebook.com/madrid.usembassy/</v>
      </c>
    </row>
    <row r="876">
      <c r="A876" s="59" t="str">
        <f>IFERROR(__xludf.DUMMYFUNCTION("""COMPUTED_VALUE"""),"EUR")</f>
        <v>EUR</v>
      </c>
      <c r="B876" s="59" t="str">
        <f>IFERROR(__xludf.DUMMYFUNCTION("""COMPUTED_VALUE"""),"Spain")</f>
        <v>Spain</v>
      </c>
      <c r="C876" s="59" t="str">
        <f>IFERROR(__xludf.DUMMYFUNCTION("""COMPUTED_VALUE"""),"U.S. Embassy Madrid")</f>
        <v>U.S. Embassy Madrid</v>
      </c>
      <c r="D876" s="59" t="str">
        <f>IFERROR(__xludf.DUMMYFUNCTION("""COMPUTED_VALUE"""),"Instagram")</f>
        <v>Instagram</v>
      </c>
      <c r="E876" s="60" t="str">
        <f>IFERROR(__xludf.DUMMYFUNCTION("""COMPUTED_VALUE"""),"https://www.instagram.com/usembassymadrid")</f>
        <v>https://www.instagram.com/usembassymadrid</v>
      </c>
    </row>
    <row r="877">
      <c r="A877" s="59" t="str">
        <f>IFERROR(__xludf.DUMMYFUNCTION("""COMPUTED_VALUE"""),"EUR")</f>
        <v>EUR</v>
      </c>
      <c r="B877" s="59" t="str">
        <f>IFERROR(__xludf.DUMMYFUNCTION("""COMPUTED_VALUE"""),"Spain")</f>
        <v>Spain</v>
      </c>
      <c r="C877" s="59" t="str">
        <f>IFERROR(__xludf.DUMMYFUNCTION("""COMPUTED_VALUE"""),"U.S. Embassy Madrid")</f>
        <v>U.S. Embassy Madrid</v>
      </c>
      <c r="D877" s="59" t="str">
        <f>IFERROR(__xludf.DUMMYFUNCTION("""COMPUTED_VALUE"""),"LinkedIn")</f>
        <v>LinkedIn</v>
      </c>
      <c r="E877" s="60" t="str">
        <f>IFERROR(__xludf.DUMMYFUNCTION("""COMPUTED_VALUE"""),"https://www.linkedin.com/company/usembassymadrid/")</f>
        <v>https://www.linkedin.com/company/usembassymadrid/</v>
      </c>
    </row>
    <row r="878">
      <c r="A878" s="59" t="str">
        <f>IFERROR(__xludf.DUMMYFUNCTION("""COMPUTED_VALUE"""),"EUR")</f>
        <v>EUR</v>
      </c>
      <c r="B878" s="59" t="str">
        <f>IFERROR(__xludf.DUMMYFUNCTION("""COMPUTED_VALUE"""),"Spain")</f>
        <v>Spain</v>
      </c>
      <c r="C878" s="59" t="str">
        <f>IFERROR(__xludf.DUMMYFUNCTION("""COMPUTED_VALUE"""),"U.S. Embassy Madrid")</f>
        <v>U.S. Embassy Madrid</v>
      </c>
      <c r="D878" s="59" t="str">
        <f>IFERROR(__xludf.DUMMYFUNCTION("""COMPUTED_VALUE"""),"X")</f>
        <v>X</v>
      </c>
      <c r="E878" s="60" t="str">
        <f>IFERROR(__xludf.DUMMYFUNCTION("""COMPUTED_VALUE"""),"https://x.com/USembassyMadrid")</f>
        <v>https://x.com/USembassyMadrid</v>
      </c>
    </row>
    <row r="879">
      <c r="A879" s="59" t="str">
        <f>IFERROR(__xludf.DUMMYFUNCTION("""COMPUTED_VALUE"""),"EUR")</f>
        <v>EUR</v>
      </c>
      <c r="B879" s="59" t="str">
        <f>IFERROR(__xludf.DUMMYFUNCTION("""COMPUTED_VALUE"""),"Spain")</f>
        <v>Spain</v>
      </c>
      <c r="C879" s="59" t="str">
        <f>IFERROR(__xludf.DUMMYFUNCTION("""COMPUTED_VALUE"""),"U.S. Embassy Madrid")</f>
        <v>U.S. Embassy Madrid</v>
      </c>
      <c r="D879" s="59" t="str">
        <f>IFERROR(__xludf.DUMMYFUNCTION("""COMPUTED_VALUE"""),"YouTube")</f>
        <v>YouTube</v>
      </c>
      <c r="E879" s="60" t="str">
        <f>IFERROR(__xludf.DUMMYFUNCTION("""COMPUTED_VALUE"""),"https://youtube.com/@USembassyMadrid")</f>
        <v>https://youtube.com/@USembassyMadrid</v>
      </c>
    </row>
    <row r="880">
      <c r="A880" s="59" t="str">
        <f>IFERROR(__xludf.DUMMYFUNCTION("""COMPUTED_VALUE"""),"EUR")</f>
        <v>EUR</v>
      </c>
      <c r="B880" s="59" t="str">
        <f>IFERROR(__xludf.DUMMYFUNCTION("""COMPUTED_VALUE"""),"Sweden")</f>
        <v>Sweden</v>
      </c>
      <c r="C880" s="59" t="str">
        <f>IFERROR(__xludf.DUMMYFUNCTION("""COMPUTED_VALUE"""),"U.S. Ambassador to Sweden")</f>
        <v>U.S. Ambassador to Sweden</v>
      </c>
      <c r="D880" s="59" t="str">
        <f>IFERROR(__xludf.DUMMYFUNCTION("""COMPUTED_VALUE"""),"Instagram")</f>
        <v>Instagram</v>
      </c>
      <c r="E880" s="60" t="str">
        <f>IFERROR(__xludf.DUMMYFUNCTION("""COMPUTED_VALUE"""),"https://www.instagram.com/usambsweden/")</f>
        <v>https://www.instagram.com/usambsweden/</v>
      </c>
    </row>
    <row r="881">
      <c r="A881" s="59" t="str">
        <f>IFERROR(__xludf.DUMMYFUNCTION("""COMPUTED_VALUE"""),"EUR")</f>
        <v>EUR</v>
      </c>
      <c r="B881" s="59" t="str">
        <f>IFERROR(__xludf.DUMMYFUNCTION("""COMPUTED_VALUE"""),"Sweden")</f>
        <v>Sweden</v>
      </c>
      <c r="C881" s="59" t="str">
        <f>IFERROR(__xludf.DUMMYFUNCTION("""COMPUTED_VALUE"""),"U.S. Ambassador to Sweden")</f>
        <v>U.S. Ambassador to Sweden</v>
      </c>
      <c r="D881" s="59" t="str">
        <f>IFERROR(__xludf.DUMMYFUNCTION("""COMPUTED_VALUE"""),"X")</f>
        <v>X</v>
      </c>
      <c r="E881" s="60" t="str">
        <f>IFERROR(__xludf.DUMMYFUNCTION("""COMPUTED_VALUE"""),"https://x.com/USAmbSweden")</f>
        <v>https://x.com/USAmbSweden</v>
      </c>
    </row>
    <row r="882">
      <c r="A882" s="59" t="str">
        <f>IFERROR(__xludf.DUMMYFUNCTION("""COMPUTED_VALUE"""),"EUR")</f>
        <v>EUR</v>
      </c>
      <c r="B882" s="59" t="str">
        <f>IFERROR(__xludf.DUMMYFUNCTION("""COMPUTED_VALUE"""),"Sweden")</f>
        <v>Sweden</v>
      </c>
      <c r="C882" s="59" t="str">
        <f>IFERROR(__xludf.DUMMYFUNCTION("""COMPUTED_VALUE"""),"U.S. Embassy Stockholm")</f>
        <v>U.S. Embassy Stockholm</v>
      </c>
      <c r="D882" s="59" t="str">
        <f>IFERROR(__xludf.DUMMYFUNCTION("""COMPUTED_VALUE"""),"Facebook")</f>
        <v>Facebook</v>
      </c>
      <c r="E882" s="60" t="str">
        <f>IFERROR(__xludf.DUMMYFUNCTION("""COMPUTED_VALUE"""),"https://www.facebook.com/stockholm.usembassy/")</f>
        <v>https://www.facebook.com/stockholm.usembassy/</v>
      </c>
    </row>
    <row r="883">
      <c r="A883" s="59" t="str">
        <f>IFERROR(__xludf.DUMMYFUNCTION("""COMPUTED_VALUE"""),"EUR")</f>
        <v>EUR</v>
      </c>
      <c r="B883" s="59" t="str">
        <f>IFERROR(__xludf.DUMMYFUNCTION("""COMPUTED_VALUE"""),"Sweden")</f>
        <v>Sweden</v>
      </c>
      <c r="C883" s="59" t="str">
        <f>IFERROR(__xludf.DUMMYFUNCTION("""COMPUTED_VALUE"""),"U.S. Embassy Stockholm")</f>
        <v>U.S. Embassy Stockholm</v>
      </c>
      <c r="D883" s="59" t="str">
        <f>IFERROR(__xludf.DUMMYFUNCTION("""COMPUTED_VALUE"""),"Instagram")</f>
        <v>Instagram</v>
      </c>
      <c r="E883" s="60" t="str">
        <f>IFERROR(__xludf.DUMMYFUNCTION("""COMPUTED_VALUE"""),"https://www.instagram.com/usembsweden")</f>
        <v>https://www.instagram.com/usembsweden</v>
      </c>
    </row>
    <row r="884">
      <c r="A884" s="59" t="str">
        <f>IFERROR(__xludf.DUMMYFUNCTION("""COMPUTED_VALUE"""),"EUR")</f>
        <v>EUR</v>
      </c>
      <c r="B884" s="59" t="str">
        <f>IFERROR(__xludf.DUMMYFUNCTION("""COMPUTED_VALUE"""),"Sweden")</f>
        <v>Sweden</v>
      </c>
      <c r="C884" s="59" t="str">
        <f>IFERROR(__xludf.DUMMYFUNCTION("""COMPUTED_VALUE"""),"U.S. Embassy Stockholm")</f>
        <v>U.S. Embassy Stockholm</v>
      </c>
      <c r="D884" s="59" t="str">
        <f>IFERROR(__xludf.DUMMYFUNCTION("""COMPUTED_VALUE"""),"X")</f>
        <v>X</v>
      </c>
      <c r="E884" s="60" t="str">
        <f>IFERROR(__xludf.DUMMYFUNCTION("""COMPUTED_VALUE"""),"https://x.com/usembsweden")</f>
        <v>https://x.com/usembsweden</v>
      </c>
    </row>
    <row r="885">
      <c r="A885" s="59" t="str">
        <f>IFERROR(__xludf.DUMMYFUNCTION("""COMPUTED_VALUE"""),"EUR")</f>
        <v>EUR</v>
      </c>
      <c r="B885" s="59" t="str">
        <f>IFERROR(__xludf.DUMMYFUNCTION("""COMPUTED_VALUE"""),"Sweden")</f>
        <v>Sweden</v>
      </c>
      <c r="C885" s="59" t="str">
        <f>IFERROR(__xludf.DUMMYFUNCTION("""COMPUTED_VALUE"""),"USEmbassy Sweden")</f>
        <v>USEmbassy Sweden</v>
      </c>
      <c r="D885" s="59" t="str">
        <f>IFERROR(__xludf.DUMMYFUNCTION("""COMPUTED_VALUE"""),"YouTube")</f>
        <v>YouTube</v>
      </c>
      <c r="E885" s="60" t="str">
        <f>IFERROR(__xludf.DUMMYFUNCTION("""COMPUTED_VALUE"""),"https://www.youtube.com/@USEmbassySweden/")</f>
        <v>https://www.youtube.com/@USEmbassySweden/</v>
      </c>
    </row>
    <row r="886">
      <c r="A886" s="59" t="str">
        <f>IFERROR(__xludf.DUMMYFUNCTION("""COMPUTED_VALUE"""),"EUR")</f>
        <v>EUR</v>
      </c>
      <c r="B886" s="59" t="str">
        <f>IFERROR(__xludf.DUMMYFUNCTION("""COMPUTED_VALUE"""),"Sweden")</f>
        <v>Sweden</v>
      </c>
      <c r="C886" s="59" t="str">
        <f>IFERROR(__xludf.DUMMYFUNCTION("""COMPUTED_VALUE"""),"USEmbassy Sweden")</f>
        <v>USEmbassy Sweden</v>
      </c>
      <c r="D886" s="59" t="str">
        <f>IFERROR(__xludf.DUMMYFUNCTION("""COMPUTED_VALUE"""),"Flickr")</f>
        <v>Flickr</v>
      </c>
      <c r="E886" s="60" t="str">
        <f>IFERROR(__xludf.DUMMYFUNCTION("""COMPUTED_VALUE"""),"https://www.flickr.com/photos/usembsweden/")</f>
        <v>https://www.flickr.com/photos/usembsweden/</v>
      </c>
    </row>
    <row r="887">
      <c r="A887" s="59" t="str">
        <f>IFERROR(__xludf.DUMMYFUNCTION("""COMPUTED_VALUE"""),"EUR")</f>
        <v>EUR</v>
      </c>
      <c r="B887" s="59" t="str">
        <f>IFERROR(__xludf.DUMMYFUNCTION("""COMPUTED_VALUE"""),"Switzerland")</f>
        <v>Switzerland</v>
      </c>
      <c r="C887" s="59" t="str">
        <f>IFERROR(__xludf.DUMMYFUNCTION("""COMPUTED_VALUE"""),"U.S. Ambassador to Switzerland")</f>
        <v>U.S. Ambassador to Switzerland</v>
      </c>
      <c r="D887" s="59" t="str">
        <f>IFERROR(__xludf.DUMMYFUNCTION("""COMPUTED_VALUE"""),"Instagram")</f>
        <v>Instagram</v>
      </c>
      <c r="E887" s="60" t="str">
        <f>IFERROR(__xludf.DUMMYFUNCTION("""COMPUTED_VALUE"""),"https://www.instagram.com/usambbern/")</f>
        <v>https://www.instagram.com/usambbern/</v>
      </c>
    </row>
    <row r="888">
      <c r="A888" s="59" t="str">
        <f>IFERROR(__xludf.DUMMYFUNCTION("""COMPUTED_VALUE"""),"EUR")</f>
        <v>EUR</v>
      </c>
      <c r="B888" s="59" t="str">
        <f>IFERROR(__xludf.DUMMYFUNCTION("""COMPUTED_VALUE"""),"Switzerland")</f>
        <v>Switzerland</v>
      </c>
      <c r="C888" s="59" t="str">
        <f>IFERROR(__xludf.DUMMYFUNCTION("""COMPUTED_VALUE"""),"U.S. Embassy Bern")</f>
        <v>U.S. Embassy Bern</v>
      </c>
      <c r="D888" s="59" t="str">
        <f>IFERROR(__xludf.DUMMYFUNCTION("""COMPUTED_VALUE"""),"Facebook")</f>
        <v>Facebook</v>
      </c>
      <c r="E888" s="60" t="str">
        <f>IFERROR(__xludf.DUMMYFUNCTION("""COMPUTED_VALUE"""),"https://www.facebook.com/USBotschaftBern/")</f>
        <v>https://www.facebook.com/USBotschaftBern/</v>
      </c>
    </row>
    <row r="889">
      <c r="A889" s="59" t="str">
        <f>IFERROR(__xludf.DUMMYFUNCTION("""COMPUTED_VALUE"""),"EUR")</f>
        <v>EUR</v>
      </c>
      <c r="B889" s="59" t="str">
        <f>IFERROR(__xludf.DUMMYFUNCTION("""COMPUTED_VALUE"""),"Switzerland")</f>
        <v>Switzerland</v>
      </c>
      <c r="C889" s="59" t="str">
        <f>IFERROR(__xludf.DUMMYFUNCTION("""COMPUTED_VALUE"""),"U.S. Embassy Bern")</f>
        <v>U.S. Embassy Bern</v>
      </c>
      <c r="D889" s="59" t="str">
        <f>IFERROR(__xludf.DUMMYFUNCTION("""COMPUTED_VALUE"""),"Instagram")</f>
        <v>Instagram</v>
      </c>
      <c r="E889" s="60" t="str">
        <f>IFERROR(__xludf.DUMMYFUNCTION("""COMPUTED_VALUE"""),"https://www.instagram.com/usembassybern")</f>
        <v>https://www.instagram.com/usembassybern</v>
      </c>
    </row>
    <row r="890">
      <c r="A890" s="59" t="str">
        <f>IFERROR(__xludf.DUMMYFUNCTION("""COMPUTED_VALUE"""),"EUR")</f>
        <v>EUR</v>
      </c>
      <c r="B890" s="59" t="str">
        <f>IFERROR(__xludf.DUMMYFUNCTION("""COMPUTED_VALUE"""),"Switzerland")</f>
        <v>Switzerland</v>
      </c>
      <c r="C890" s="59" t="str">
        <f>IFERROR(__xludf.DUMMYFUNCTION("""COMPUTED_VALUE"""),"U.S. Embassy Bern")</f>
        <v>U.S. Embassy Bern</v>
      </c>
      <c r="D890" s="59" t="str">
        <f>IFERROR(__xludf.DUMMYFUNCTION("""COMPUTED_VALUE"""),"X")</f>
        <v>X</v>
      </c>
      <c r="E890" s="60" t="str">
        <f>IFERROR(__xludf.DUMMYFUNCTION("""COMPUTED_VALUE"""),"https://x.com/USEmbassyBern")</f>
        <v>https://x.com/USEmbassyBern</v>
      </c>
    </row>
    <row r="891">
      <c r="A891" s="62" t="str">
        <f>IFERROR(__xludf.DUMMYFUNCTION("""COMPUTED_VALUE"""),"EUR")</f>
        <v>EUR</v>
      </c>
      <c r="B891" s="62" t="str">
        <f>IFERROR(__xludf.DUMMYFUNCTION("""COMPUTED_VALUE"""),"Switzerland")</f>
        <v>Switzerland</v>
      </c>
      <c r="C891" s="62" t="str">
        <f>IFERROR(__xludf.DUMMYFUNCTION("""COMPUTED_VALUE"""),"U.S. Embassy Bern")</f>
        <v>U.S. Embassy Bern</v>
      </c>
      <c r="D891" s="62" t="str">
        <f>IFERROR(__xludf.DUMMYFUNCTION("""COMPUTED_VALUE"""),"YouTube")</f>
        <v>YouTube</v>
      </c>
      <c r="E891" s="63" t="str">
        <f>IFERROR(__xludf.DUMMYFUNCTION("""COMPUTED_VALUE"""),"https://youtube.com/@USEmbassyBern")</f>
        <v>https://youtube.com/@USEmbassyBern</v>
      </c>
    </row>
    <row r="892">
      <c r="A892" s="62" t="str">
        <f>IFERROR(__xludf.DUMMYFUNCTION("""COMPUTED_VALUE"""),"EUR")</f>
        <v>EUR</v>
      </c>
      <c r="B892" s="62" t="str">
        <f>IFERROR(__xludf.DUMMYFUNCTION("""COMPUTED_VALUE"""),"Switzerland")</f>
        <v>Switzerland</v>
      </c>
      <c r="C892" s="62" t="str">
        <f>IFERROR(__xludf.DUMMYFUNCTION("""COMPUTED_VALUE"""),"U.S. Embassy Bern, Switzerland")</f>
        <v>U.S. Embassy Bern, Switzerland</v>
      </c>
      <c r="D892" s="62" t="str">
        <f>IFERROR(__xludf.DUMMYFUNCTION("""COMPUTED_VALUE"""),"Flickr")</f>
        <v>Flickr</v>
      </c>
      <c r="E892" s="63" t="str">
        <f>IFERROR(__xludf.DUMMYFUNCTION("""COMPUTED_VALUE"""),"https://www.flickr.com/photos/usembassybern/")</f>
        <v>https://www.flickr.com/photos/usembassybern/</v>
      </c>
    </row>
    <row r="893">
      <c r="A893" s="62" t="str">
        <f>IFERROR(__xludf.DUMMYFUNCTION("""COMPUTED_VALUE"""),"EUR")</f>
        <v>EUR</v>
      </c>
      <c r="B893" s="62" t="str">
        <f>IFERROR(__xludf.DUMMYFUNCTION("""COMPUTED_VALUE"""),"Türkiye")</f>
        <v>Türkiye</v>
      </c>
      <c r="C893" s="62" t="str">
        <f>IFERROR(__xludf.DUMMYFUNCTION("""COMPUTED_VALUE"""),"U.S. Consulate General Adana")</f>
        <v>U.S. Consulate General Adana</v>
      </c>
      <c r="D893" s="62" t="str">
        <f>IFERROR(__xludf.DUMMYFUNCTION("""COMPUTED_VALUE"""),"Facebook")</f>
        <v>Facebook</v>
      </c>
      <c r="E893" s="63" t="str">
        <f>IFERROR(__xludf.DUMMYFUNCTION("""COMPUTED_VALUE"""),"https://www.facebook.com/usconsadana/")</f>
        <v>https://www.facebook.com/usconsadana/</v>
      </c>
    </row>
    <row r="894">
      <c r="A894" s="62" t="str">
        <f>IFERROR(__xludf.DUMMYFUNCTION("""COMPUTED_VALUE"""),"EUR")</f>
        <v>EUR</v>
      </c>
      <c r="B894" s="62" t="str">
        <f>IFERROR(__xludf.DUMMYFUNCTION("""COMPUTED_VALUE"""),"Türkiye")</f>
        <v>Türkiye</v>
      </c>
      <c r="C894" s="62" t="str">
        <f>IFERROR(__xludf.DUMMYFUNCTION("""COMPUTED_VALUE"""),"U.S. Consulate General Adana")</f>
        <v>U.S. Consulate General Adana</v>
      </c>
      <c r="D894" s="62" t="str">
        <f>IFERROR(__xludf.DUMMYFUNCTION("""COMPUTED_VALUE"""),"Instagram")</f>
        <v>Instagram</v>
      </c>
      <c r="E894" s="63" t="str">
        <f>IFERROR(__xludf.DUMMYFUNCTION("""COMPUTED_VALUE"""),"https://www.instagram.com/usconsadana ")</f>
        <v>https://www.instagram.com/usconsadana </v>
      </c>
    </row>
    <row r="895">
      <c r="A895" s="62" t="str">
        <f>IFERROR(__xludf.DUMMYFUNCTION("""COMPUTED_VALUE"""),"EUR")</f>
        <v>EUR</v>
      </c>
      <c r="B895" s="62" t="str">
        <f>IFERROR(__xludf.DUMMYFUNCTION("""COMPUTED_VALUE"""),"Türkiye")</f>
        <v>Türkiye</v>
      </c>
      <c r="C895" s="62" t="str">
        <f>IFERROR(__xludf.DUMMYFUNCTION("""COMPUTED_VALUE"""),"U.S. Consulate General Istanbul")</f>
        <v>U.S. Consulate General Istanbul</v>
      </c>
      <c r="D895" s="62" t="str">
        <f>IFERROR(__xludf.DUMMYFUNCTION("""COMPUTED_VALUE"""),"Facebook")</f>
        <v>Facebook</v>
      </c>
      <c r="E895" s="63" t="str">
        <f>IFERROR(__xludf.DUMMYFUNCTION("""COMPUTED_VALUE"""),"https://www.facebook.com/usconsistanbul/")</f>
        <v>https://www.facebook.com/usconsistanbul/</v>
      </c>
    </row>
    <row r="896">
      <c r="A896" s="62" t="str">
        <f>IFERROR(__xludf.DUMMYFUNCTION("""COMPUTED_VALUE"""),"EUR")</f>
        <v>EUR</v>
      </c>
      <c r="B896" s="62" t="str">
        <f>IFERROR(__xludf.DUMMYFUNCTION("""COMPUTED_VALUE"""),"Türkiye")</f>
        <v>Türkiye</v>
      </c>
      <c r="C896" s="62" t="str">
        <f>IFERROR(__xludf.DUMMYFUNCTION("""COMPUTED_VALUE"""),"U.S. Consulate General Istanbul")</f>
        <v>U.S. Consulate General Istanbul</v>
      </c>
      <c r="D896" s="62" t="str">
        <f>IFERROR(__xludf.DUMMYFUNCTION("""COMPUTED_VALUE"""),"Instagram")</f>
        <v>Instagram</v>
      </c>
      <c r="E896" s="63" t="str">
        <f>IFERROR(__xludf.DUMMYFUNCTION("""COMPUTED_VALUE"""),"https://www.instagram.com/usconsistanbul/")</f>
        <v>https://www.instagram.com/usconsistanbul/</v>
      </c>
    </row>
    <row r="897">
      <c r="A897" s="62" t="str">
        <f>IFERROR(__xludf.DUMMYFUNCTION("""COMPUTED_VALUE"""),"EUR")</f>
        <v>EUR</v>
      </c>
      <c r="B897" s="62" t="str">
        <f>IFERROR(__xludf.DUMMYFUNCTION("""COMPUTED_VALUE"""),"Türkiye")</f>
        <v>Türkiye</v>
      </c>
      <c r="C897" s="62" t="str">
        <f>IFERROR(__xludf.DUMMYFUNCTION("""COMPUTED_VALUE"""),"U.S. Consulate General Istanbul")</f>
        <v>U.S. Consulate General Istanbul</v>
      </c>
      <c r="D897" s="62" t="str">
        <f>IFERROR(__xludf.DUMMYFUNCTION("""COMPUTED_VALUE"""),"X")</f>
        <v>X</v>
      </c>
      <c r="E897" s="63" t="str">
        <f>IFERROR(__xludf.DUMMYFUNCTION("""COMPUTED_VALUE"""),"https://x.com/ABDIstanbul")</f>
        <v>https://x.com/ABDIstanbul</v>
      </c>
    </row>
    <row r="898">
      <c r="A898" s="62" t="str">
        <f>IFERROR(__xludf.DUMMYFUNCTION("""COMPUTED_VALUE"""),"EUR")</f>
        <v>EUR</v>
      </c>
      <c r="B898" s="62" t="str">
        <f>IFERROR(__xludf.DUMMYFUNCTION("""COMPUTED_VALUE"""),"Türkiye")</f>
        <v>Türkiye</v>
      </c>
      <c r="C898" s="62" t="str">
        <f>IFERROR(__xludf.DUMMYFUNCTION("""COMPUTED_VALUE"""),"U.S. Consulate General Istanbul")</f>
        <v>U.S. Consulate General Istanbul</v>
      </c>
      <c r="D898" s="62" t="str">
        <f>IFERROR(__xludf.DUMMYFUNCTION("""COMPUTED_VALUE"""),"YouTube")</f>
        <v>YouTube</v>
      </c>
      <c r="E898" s="63" t="str">
        <f>IFERROR(__xludf.DUMMYFUNCTION("""COMPUTED_VALUE"""),"youtube.com/user/USConsulateIstanbul")</f>
        <v>youtube.com/user/USConsulateIstanbul</v>
      </c>
    </row>
    <row r="899">
      <c r="A899" s="62" t="str">
        <f>IFERROR(__xludf.DUMMYFUNCTION("""COMPUTED_VALUE"""),"EUR")</f>
        <v>EUR</v>
      </c>
      <c r="B899" s="62" t="str">
        <f>IFERROR(__xludf.DUMMYFUNCTION("""COMPUTED_VALUE"""),"Türkiye")</f>
        <v>Türkiye</v>
      </c>
      <c r="C899" s="62" t="str">
        <f>IFERROR(__xludf.DUMMYFUNCTION("""COMPUTED_VALUE"""),"U.S. Embassy Ankara")</f>
        <v>U.S. Embassy Ankara</v>
      </c>
      <c r="D899" s="62" t="str">
        <f>IFERROR(__xludf.DUMMYFUNCTION("""COMPUTED_VALUE"""),"Facebook")</f>
        <v>Facebook</v>
      </c>
      <c r="E899" s="63" t="str">
        <f>IFERROR(__xludf.DUMMYFUNCTION("""COMPUTED_VALUE"""),"https://www.facebook.com/usembturkiye")</f>
        <v>https://www.facebook.com/usembturkiye</v>
      </c>
    </row>
    <row r="900">
      <c r="A900" s="62" t="str">
        <f>IFERROR(__xludf.DUMMYFUNCTION("""COMPUTED_VALUE"""),"EUR")</f>
        <v>EUR</v>
      </c>
      <c r="B900" s="62" t="str">
        <f>IFERROR(__xludf.DUMMYFUNCTION("""COMPUTED_VALUE"""),"Türkiye")</f>
        <v>Türkiye</v>
      </c>
      <c r="C900" s="62" t="str">
        <f>IFERROR(__xludf.DUMMYFUNCTION("""COMPUTED_VALUE"""),"U.S. Embassy Ankara")</f>
        <v>U.S. Embassy Ankara</v>
      </c>
      <c r="D900" s="62" t="str">
        <f>IFERROR(__xludf.DUMMYFUNCTION("""COMPUTED_VALUE"""),"Instagram")</f>
        <v>Instagram</v>
      </c>
      <c r="E900" s="63" t="str">
        <f>IFERROR(__xludf.DUMMYFUNCTION("""COMPUTED_VALUE"""),"https://www.instagram.com/usembturkiye/")</f>
        <v>https://www.instagram.com/usembturkiye/</v>
      </c>
    </row>
    <row r="901">
      <c r="A901" s="62" t="str">
        <f>IFERROR(__xludf.DUMMYFUNCTION("""COMPUTED_VALUE"""),"EUR")</f>
        <v>EUR</v>
      </c>
      <c r="B901" s="62" t="str">
        <f>IFERROR(__xludf.DUMMYFUNCTION("""COMPUTED_VALUE"""),"Türkiye")</f>
        <v>Türkiye</v>
      </c>
      <c r="C901" s="62" t="str">
        <f>IFERROR(__xludf.DUMMYFUNCTION("""COMPUTED_VALUE"""),"U.S. Embassy Ankara")</f>
        <v>U.S. Embassy Ankara</v>
      </c>
      <c r="D901" s="62" t="str">
        <f>IFERROR(__xludf.DUMMYFUNCTION("""COMPUTED_VALUE"""),"X")</f>
        <v>X</v>
      </c>
      <c r="E901" s="63" t="str">
        <f>IFERROR(__xludf.DUMMYFUNCTION("""COMPUTED_VALUE"""),"https://x.com/USEmbassyTurkey")</f>
        <v>https://x.com/USEmbassyTurkey</v>
      </c>
    </row>
    <row r="902">
      <c r="A902" s="62" t="str">
        <f>IFERROR(__xludf.DUMMYFUNCTION("""COMPUTED_VALUE"""),"EUR")</f>
        <v>EUR</v>
      </c>
      <c r="B902" s="62" t="str">
        <f>IFERROR(__xludf.DUMMYFUNCTION("""COMPUTED_VALUE"""),"Türkiye")</f>
        <v>Türkiye</v>
      </c>
      <c r="C902" s="62" t="str">
        <f>IFERROR(__xludf.DUMMYFUNCTION("""COMPUTED_VALUE"""),"U.S. Embassy Ankara")</f>
        <v>U.S. Embassy Ankara</v>
      </c>
      <c r="D902" s="62" t="str">
        <f>IFERROR(__xludf.DUMMYFUNCTION("""COMPUTED_VALUE"""),"YouTube")</f>
        <v>YouTube</v>
      </c>
      <c r="E902" s="63" t="str">
        <f>IFERROR(__xludf.DUMMYFUNCTION("""COMPUTED_VALUE"""),"https://www.youtube.com/USEmbassyTurkey")</f>
        <v>https://www.youtube.com/USEmbassyTurkey</v>
      </c>
    </row>
    <row r="903">
      <c r="A903" s="62" t="str">
        <f>IFERROR(__xludf.DUMMYFUNCTION("""COMPUTED_VALUE"""),"EUR")</f>
        <v>EUR</v>
      </c>
      <c r="B903" s="62" t="str">
        <f>IFERROR(__xludf.DUMMYFUNCTION("""COMPUTED_VALUE"""),"Ukraine")</f>
        <v>Ukraine</v>
      </c>
      <c r="C903" s="62" t="str">
        <f>IFERROR(__xludf.DUMMYFUNCTION("""COMPUTED_VALUE"""),"U.S. Ambassador to Ukraine")</f>
        <v>U.S. Ambassador to Ukraine</v>
      </c>
      <c r="D903" s="62" t="str">
        <f>IFERROR(__xludf.DUMMYFUNCTION("""COMPUTED_VALUE"""),"Instagram")</f>
        <v>Instagram</v>
      </c>
      <c r="E903" s="63" t="str">
        <f>IFERROR(__xludf.DUMMYFUNCTION("""COMPUTED_VALUE"""),"https://www.instagram.com/usambkyiv/")</f>
        <v>https://www.instagram.com/usambkyiv/</v>
      </c>
    </row>
    <row r="904">
      <c r="A904" s="62" t="str">
        <f>IFERROR(__xludf.DUMMYFUNCTION("""COMPUTED_VALUE"""),"EUR")</f>
        <v>EUR</v>
      </c>
      <c r="B904" s="62" t="str">
        <f>IFERROR(__xludf.DUMMYFUNCTION("""COMPUTED_VALUE"""),"Ukraine")</f>
        <v>Ukraine</v>
      </c>
      <c r="C904" s="62" t="str">
        <f>IFERROR(__xludf.DUMMYFUNCTION("""COMPUTED_VALUE"""),"U.S. Ambassador to Ukraine")</f>
        <v>U.S. Ambassador to Ukraine</v>
      </c>
      <c r="D904" s="62" t="str">
        <f>IFERROR(__xludf.DUMMYFUNCTION("""COMPUTED_VALUE"""),"X")</f>
        <v>X</v>
      </c>
      <c r="E904" s="63" t="str">
        <f>IFERROR(__xludf.DUMMYFUNCTION("""COMPUTED_VALUE"""),"https://x.com/USAmbKyiv")</f>
        <v>https://x.com/USAmbKyiv</v>
      </c>
    </row>
    <row r="905">
      <c r="A905" s="62" t="str">
        <f>IFERROR(__xludf.DUMMYFUNCTION("""COMPUTED_VALUE"""),"EUR")</f>
        <v>EUR</v>
      </c>
      <c r="B905" s="62" t="str">
        <f>IFERROR(__xludf.DUMMYFUNCTION("""COMPUTED_VALUE"""),"Ukraine")</f>
        <v>Ukraine</v>
      </c>
      <c r="C905" s="62" t="str">
        <f>IFERROR(__xludf.DUMMYFUNCTION("""COMPUTED_VALUE"""),"U.S. Embassy Kyiv")</f>
        <v>U.S. Embassy Kyiv</v>
      </c>
      <c r="D905" s="62" t="str">
        <f>IFERROR(__xludf.DUMMYFUNCTION("""COMPUTED_VALUE"""),"Facebook")</f>
        <v>Facebook</v>
      </c>
      <c r="E905" s="63" t="str">
        <f>IFERROR(__xludf.DUMMYFUNCTION("""COMPUTED_VALUE"""),"https://www.facebook.com/usdos.ukraine/")</f>
        <v>https://www.facebook.com/usdos.ukraine/</v>
      </c>
    </row>
    <row r="906">
      <c r="A906" s="62" t="str">
        <f>IFERROR(__xludf.DUMMYFUNCTION("""COMPUTED_VALUE"""),"EUR")</f>
        <v>EUR</v>
      </c>
      <c r="B906" s="62" t="str">
        <f>IFERROR(__xludf.DUMMYFUNCTION("""COMPUTED_VALUE"""),"Ukraine")</f>
        <v>Ukraine</v>
      </c>
      <c r="C906" s="62" t="str">
        <f>IFERROR(__xludf.DUMMYFUNCTION("""COMPUTED_VALUE"""),"U.S. Embassy Kyiv")</f>
        <v>U.S. Embassy Kyiv</v>
      </c>
      <c r="D906" s="62" t="str">
        <f>IFERROR(__xludf.DUMMYFUNCTION("""COMPUTED_VALUE"""),"Instagram")</f>
        <v>Instagram</v>
      </c>
      <c r="E906" s="63" t="str">
        <f>IFERROR(__xludf.DUMMYFUNCTION("""COMPUTED_VALUE"""),"https://www.instagram.com/usembkyiv")</f>
        <v>https://www.instagram.com/usembkyiv</v>
      </c>
    </row>
    <row r="907">
      <c r="A907" s="62" t="str">
        <f>IFERROR(__xludf.DUMMYFUNCTION("""COMPUTED_VALUE"""),"EUR")</f>
        <v>EUR</v>
      </c>
      <c r="B907" s="62" t="str">
        <f>IFERROR(__xludf.DUMMYFUNCTION("""COMPUTED_VALUE"""),"Ukraine")</f>
        <v>Ukraine</v>
      </c>
      <c r="C907" s="62" t="str">
        <f>IFERROR(__xludf.DUMMYFUNCTION("""COMPUTED_VALUE"""),"U.S. Embassy Kyiv")</f>
        <v>U.S. Embassy Kyiv</v>
      </c>
      <c r="D907" s="62" t="str">
        <f>IFERROR(__xludf.DUMMYFUNCTION("""COMPUTED_VALUE"""),"X")</f>
        <v>X</v>
      </c>
      <c r="E907" s="63" t="str">
        <f>IFERROR(__xludf.DUMMYFUNCTION("""COMPUTED_VALUE"""),"https://x.com/USEmbassyKyiv")</f>
        <v>https://x.com/USEmbassyKyiv</v>
      </c>
    </row>
    <row r="908">
      <c r="A908" s="62" t="str">
        <f>IFERROR(__xludf.DUMMYFUNCTION("""COMPUTED_VALUE"""),"EUR")</f>
        <v>EUR</v>
      </c>
      <c r="B908" s="62" t="str">
        <f>IFERROR(__xludf.DUMMYFUNCTION("""COMPUTED_VALUE"""),"Ukraine")</f>
        <v>Ukraine</v>
      </c>
      <c r="C908" s="62" t="str">
        <f>IFERROR(__xludf.DUMMYFUNCTION("""COMPUTED_VALUE"""),"U.S. Embassy Kyiv")</f>
        <v>U.S. Embassy Kyiv</v>
      </c>
      <c r="D908" s="62" t="str">
        <f>IFERROR(__xludf.DUMMYFUNCTION("""COMPUTED_VALUE"""),"YouTube")</f>
        <v>YouTube</v>
      </c>
      <c r="E908" s="63" t="str">
        <f>IFERROR(__xludf.DUMMYFUNCTION("""COMPUTED_VALUE"""),"https://youtube.com/@USEmbassyKyiv")</f>
        <v>https://youtube.com/@USEmbassyKyiv</v>
      </c>
    </row>
    <row r="909">
      <c r="A909" s="62" t="str">
        <f>IFERROR(__xludf.DUMMYFUNCTION("""COMPUTED_VALUE"""),"EUR")</f>
        <v>EUR</v>
      </c>
      <c r="B909" s="62" t="str">
        <f>IFERROR(__xludf.DUMMYFUNCTION("""COMPUTED_VALUE"""),"United Kingdom")</f>
        <v>United Kingdom</v>
      </c>
      <c r="C909" s="62" t="str">
        <f>IFERROR(__xludf.DUMMYFUNCTION("""COMPUTED_VALUE"""),"U.S. Ambassador to the United Kingdom")</f>
        <v>U.S. Ambassador to the United Kingdom</v>
      </c>
      <c r="D909" s="62" t="str">
        <f>IFERROR(__xludf.DUMMYFUNCTION("""COMPUTED_VALUE"""),"X")</f>
        <v>X</v>
      </c>
      <c r="E909" s="63" t="str">
        <f>IFERROR(__xludf.DUMMYFUNCTION("""COMPUTED_VALUE"""),"https://x.com/usambuk")</f>
        <v>https://x.com/usambuk</v>
      </c>
    </row>
    <row r="910">
      <c r="A910" s="62" t="str">
        <f>IFERROR(__xludf.DUMMYFUNCTION("""COMPUTED_VALUE"""),"EUR")</f>
        <v>EUR</v>
      </c>
      <c r="B910" s="62" t="str">
        <f>IFERROR(__xludf.DUMMYFUNCTION("""COMPUTED_VALUE"""),"United Kingdom")</f>
        <v>United Kingdom</v>
      </c>
      <c r="C910" s="62" t="str">
        <f>IFERROR(__xludf.DUMMYFUNCTION("""COMPUTED_VALUE"""),"U.S. Ambassador to the United Kingdom")</f>
        <v>U.S. Ambassador to the United Kingdom</v>
      </c>
      <c r="D910" s="62" t="str">
        <f>IFERROR(__xludf.DUMMYFUNCTION("""COMPUTED_VALUE"""),"Instagram")</f>
        <v>Instagram</v>
      </c>
      <c r="E910" s="63" t="str">
        <f>IFERROR(__xludf.DUMMYFUNCTION("""COMPUTED_VALUE"""),"https://www.instagram.com/us_amb_uk/")</f>
        <v>https://www.instagram.com/us_amb_uk/</v>
      </c>
    </row>
    <row r="911">
      <c r="A911" s="62" t="str">
        <f>IFERROR(__xludf.DUMMYFUNCTION("""COMPUTED_VALUE"""),"EUR")</f>
        <v>EUR</v>
      </c>
      <c r="B911" s="62" t="str">
        <f>IFERROR(__xludf.DUMMYFUNCTION("""COMPUTED_VALUE"""),"United Kingdom")</f>
        <v>United Kingdom</v>
      </c>
      <c r="C911" s="62" t="str">
        <f>IFERROR(__xludf.DUMMYFUNCTION("""COMPUTED_VALUE"""),"U.S. Consulate General Belfast")</f>
        <v>U.S. Consulate General Belfast</v>
      </c>
      <c r="D911" s="62" t="str">
        <f>IFERROR(__xludf.DUMMYFUNCTION("""COMPUTED_VALUE"""),"Facebook")</f>
        <v>Facebook</v>
      </c>
      <c r="E911" s="63" t="str">
        <f>IFERROR(__xludf.DUMMYFUNCTION("""COMPUTED_VALUE"""),"https://www.facebook.com/US-Consulate-Belfast-189796969657")</f>
        <v>https://www.facebook.com/US-Consulate-Belfast-189796969657</v>
      </c>
    </row>
    <row r="912">
      <c r="A912" s="59" t="str">
        <f>IFERROR(__xludf.DUMMYFUNCTION("""COMPUTED_VALUE"""),"EUR")</f>
        <v>EUR</v>
      </c>
      <c r="B912" s="59" t="str">
        <f>IFERROR(__xludf.DUMMYFUNCTION("""COMPUTED_VALUE"""),"United Kingdom")</f>
        <v>United Kingdom</v>
      </c>
      <c r="C912" s="59" t="str">
        <f>IFERROR(__xludf.DUMMYFUNCTION("""COMPUTED_VALUE"""),"U.S. Consulate General Belfast")</f>
        <v>U.S. Consulate General Belfast</v>
      </c>
      <c r="D912" s="59" t="str">
        <f>IFERROR(__xludf.DUMMYFUNCTION("""COMPUTED_VALUE"""),"X")</f>
        <v>X</v>
      </c>
      <c r="E912" s="60" t="str">
        <f>IFERROR(__xludf.DUMMYFUNCTION("""COMPUTED_VALUE"""),"https://x.com/USAinNI")</f>
        <v>https://x.com/USAinNI</v>
      </c>
    </row>
    <row r="913">
      <c r="A913" s="59" t="str">
        <f>IFERROR(__xludf.DUMMYFUNCTION("""COMPUTED_VALUE"""),"EUR")</f>
        <v>EUR</v>
      </c>
      <c r="B913" s="59" t="str">
        <f>IFERROR(__xludf.DUMMYFUNCTION("""COMPUTED_VALUE"""),"United Kingdom")</f>
        <v>United Kingdom</v>
      </c>
      <c r="C913" s="59" t="str">
        <f>IFERROR(__xludf.DUMMYFUNCTION("""COMPUTED_VALUE"""),"U.S. Consulate General Edinburgh")</f>
        <v>U.S. Consulate General Edinburgh</v>
      </c>
      <c r="D913" s="59" t="str">
        <f>IFERROR(__xludf.DUMMYFUNCTION("""COMPUTED_VALUE"""),"X")</f>
        <v>X</v>
      </c>
      <c r="E913" s="60" t="str">
        <f>IFERROR(__xludf.DUMMYFUNCTION("""COMPUTED_VALUE"""),"https://x.com/USAinScotland")</f>
        <v>https://x.com/USAinScotland</v>
      </c>
    </row>
    <row r="914">
      <c r="A914" s="59" t="str">
        <f>IFERROR(__xludf.DUMMYFUNCTION("""COMPUTED_VALUE"""),"EUR")</f>
        <v>EUR</v>
      </c>
      <c r="B914" s="59" t="str">
        <f>IFERROR(__xludf.DUMMYFUNCTION("""COMPUTED_VALUE"""),"United Kingdom")</f>
        <v>United Kingdom</v>
      </c>
      <c r="C914" s="59" t="str">
        <f>IFERROR(__xludf.DUMMYFUNCTION("""COMPUTED_VALUE"""),"U.S. Embassy London")</f>
        <v>U.S. Embassy London</v>
      </c>
      <c r="D914" s="59" t="str">
        <f>IFERROR(__xludf.DUMMYFUNCTION("""COMPUTED_VALUE"""),"Facebook")</f>
        <v>Facebook</v>
      </c>
      <c r="E914" s="60" t="str">
        <f>IFERROR(__xludf.DUMMYFUNCTION("""COMPUTED_VALUE"""),"https://www.facebook.com/uk.usembassy/")</f>
        <v>https://www.facebook.com/uk.usembassy/</v>
      </c>
    </row>
    <row r="915">
      <c r="A915" s="59" t="str">
        <f>IFERROR(__xludf.DUMMYFUNCTION("""COMPUTED_VALUE"""),"EUR")</f>
        <v>EUR</v>
      </c>
      <c r="B915" s="59" t="str">
        <f>IFERROR(__xludf.DUMMYFUNCTION("""COMPUTED_VALUE"""),"United Kingdom")</f>
        <v>United Kingdom</v>
      </c>
      <c r="C915" s="59" t="str">
        <f>IFERROR(__xludf.DUMMYFUNCTION("""COMPUTED_VALUE"""),"U.S. Embassy London")</f>
        <v>U.S. Embassy London</v>
      </c>
      <c r="D915" s="59" t="str">
        <f>IFERROR(__xludf.DUMMYFUNCTION("""COMPUTED_VALUE"""),"Instagram")</f>
        <v>Instagram</v>
      </c>
      <c r="E915" s="60" t="str">
        <f>IFERROR(__xludf.DUMMYFUNCTION("""COMPUTED_VALUE"""),"https://www.instagram.com/usa_in_uk")</f>
        <v>https://www.instagram.com/usa_in_uk</v>
      </c>
    </row>
    <row r="916">
      <c r="A916" s="59" t="str">
        <f>IFERROR(__xludf.DUMMYFUNCTION("""COMPUTED_VALUE"""),"EUR")</f>
        <v>EUR</v>
      </c>
      <c r="B916" s="59" t="str">
        <f>IFERROR(__xludf.DUMMYFUNCTION("""COMPUTED_VALUE"""),"United Kingdom")</f>
        <v>United Kingdom</v>
      </c>
      <c r="C916" s="59" t="str">
        <f>IFERROR(__xludf.DUMMYFUNCTION("""COMPUTED_VALUE"""),"U.S. Embassy London")</f>
        <v>U.S. Embassy London</v>
      </c>
      <c r="D916" s="59" t="str">
        <f>IFERROR(__xludf.DUMMYFUNCTION("""COMPUTED_VALUE"""),"LinkedIn")</f>
        <v>LinkedIn</v>
      </c>
      <c r="E916" s="60" t="str">
        <f>IFERROR(__xludf.DUMMYFUNCTION("""COMPUTED_VALUE"""),"https://www.linkedin.com/company/us-embassy-london/")</f>
        <v>https://www.linkedin.com/company/us-embassy-london/</v>
      </c>
    </row>
    <row r="917">
      <c r="A917" s="59" t="str">
        <f>IFERROR(__xludf.DUMMYFUNCTION("""COMPUTED_VALUE"""),"EUR")</f>
        <v>EUR</v>
      </c>
      <c r="B917" s="59" t="str">
        <f>IFERROR(__xludf.DUMMYFUNCTION("""COMPUTED_VALUE"""),"United Kingdom")</f>
        <v>United Kingdom</v>
      </c>
      <c r="C917" s="59" t="str">
        <f>IFERROR(__xludf.DUMMYFUNCTION("""COMPUTED_VALUE"""),"U.S. Embassy London")</f>
        <v>U.S. Embassy London</v>
      </c>
      <c r="D917" s="59" t="str">
        <f>IFERROR(__xludf.DUMMYFUNCTION("""COMPUTED_VALUE"""),"X")</f>
        <v>X</v>
      </c>
      <c r="E917" s="60" t="str">
        <f>IFERROR(__xludf.DUMMYFUNCTION("""COMPUTED_VALUE"""),"https://x.com/USAinUK")</f>
        <v>https://x.com/USAinUK</v>
      </c>
    </row>
    <row r="918">
      <c r="A918" s="59" t="str">
        <f>IFERROR(__xludf.DUMMYFUNCTION("""COMPUTED_VALUE"""),"EUR")</f>
        <v>EUR</v>
      </c>
      <c r="B918" s="59" t="str">
        <f>IFERROR(__xludf.DUMMYFUNCTION("""COMPUTED_VALUE"""),"United Kingdom")</f>
        <v>United Kingdom</v>
      </c>
      <c r="C918" s="59" t="str">
        <f>IFERROR(__xludf.DUMMYFUNCTION("""COMPUTED_VALUE"""),"U.S. Embassy London")</f>
        <v>U.S. Embassy London</v>
      </c>
      <c r="D918" s="59" t="str">
        <f>IFERROR(__xludf.DUMMYFUNCTION("""COMPUTED_VALUE"""),"X")</f>
        <v>X</v>
      </c>
      <c r="E918" s="60" t="str">
        <f>IFERROR(__xludf.DUMMYFUNCTION("""COMPUTED_VALUE"""),"https://x.com/USAinUKpress")</f>
        <v>https://x.com/USAinUKpress</v>
      </c>
    </row>
    <row r="919">
      <c r="A919" s="59" t="str">
        <f>IFERROR(__xludf.DUMMYFUNCTION("""COMPUTED_VALUE"""),"EUR")</f>
        <v>EUR</v>
      </c>
      <c r="B919" s="59" t="str">
        <f>IFERROR(__xludf.DUMMYFUNCTION("""COMPUTED_VALUE"""),"United Kingdom")</f>
        <v>United Kingdom</v>
      </c>
      <c r="C919" s="59" t="str">
        <f>IFERROR(__xludf.DUMMYFUNCTION("""COMPUTED_VALUE"""),"U.S. Embassy London")</f>
        <v>U.S. Embassy London</v>
      </c>
      <c r="D919" s="59" t="str">
        <f>IFERROR(__xludf.DUMMYFUNCTION("""COMPUTED_VALUE"""),"YouTube")</f>
        <v>YouTube</v>
      </c>
      <c r="E919" s="60" t="str">
        <f>IFERROR(__xludf.DUMMYFUNCTION("""COMPUTED_VALUE"""),"youtube.com/user/USEmbassyLondon")</f>
        <v>youtube.com/user/USEmbassyLondon</v>
      </c>
    </row>
    <row r="920">
      <c r="A920" s="59" t="str">
        <f>IFERROR(__xludf.DUMMYFUNCTION("""COMPUTED_VALUE"""),"EUR")</f>
        <v>EUR</v>
      </c>
      <c r="B920" s="59" t="str">
        <f>IFERROR(__xludf.DUMMYFUNCTION("""COMPUTED_VALUE"""),"United Kingdom")</f>
        <v>United Kingdom</v>
      </c>
      <c r="C920" s="59" t="str">
        <f>IFERROR(__xludf.DUMMYFUNCTION("""COMPUTED_VALUE"""),"U.S. Embassy London (Consular)")</f>
        <v>U.S. Embassy London (Consular)</v>
      </c>
      <c r="D920" s="59" t="str">
        <f>IFERROR(__xludf.DUMMYFUNCTION("""COMPUTED_VALUE"""),"X")</f>
        <v>X</v>
      </c>
      <c r="E920" s="60" t="str">
        <f>IFERROR(__xludf.DUMMYFUNCTION("""COMPUTED_VALUE"""),"https://x.com/USAinUKConsular")</f>
        <v>https://x.com/USAinUKConsular</v>
      </c>
    </row>
    <row r="921">
      <c r="A921" s="59" t="str">
        <f>IFERROR(__xludf.DUMMYFUNCTION("""COMPUTED_VALUE"""),"EUR")</f>
        <v>EUR</v>
      </c>
      <c r="B921" s="59" t="str">
        <f>IFERROR(__xludf.DUMMYFUNCTION("""COMPUTED_VALUE"""),"United States")</f>
        <v>United States</v>
      </c>
      <c r="C921" s="59" t="str">
        <f>IFERROR(__xludf.DUMMYFUNCTION("""COMPUTED_VALUE"""),"Bureau of European and Eurasian Affairs")</f>
        <v>Bureau of European and Eurasian Affairs</v>
      </c>
      <c r="D921" s="59" t="str">
        <f>IFERROR(__xludf.DUMMYFUNCTION("""COMPUTED_VALUE"""),"X")</f>
        <v>X</v>
      </c>
      <c r="E921" s="60" t="str">
        <f>IFERROR(__xludf.DUMMYFUNCTION("""COMPUTED_VALUE"""),"https://x.com/StateEUR")</f>
        <v>https://x.com/StateEUR</v>
      </c>
    </row>
    <row r="922">
      <c r="A922" s="59" t="str">
        <f>IFERROR(__xludf.DUMMYFUNCTION("""COMPUTED_VALUE"""),"EUR")</f>
        <v>EUR</v>
      </c>
      <c r="B922" s="59" t="str">
        <f>IFERROR(__xludf.DUMMYFUNCTION("""COMPUTED_VALUE"""),"United States")</f>
        <v>United States</v>
      </c>
      <c r="C922" s="59" t="str">
        <f>IFERROR(__xludf.DUMMYFUNCTION("""COMPUTED_VALUE"""),"Special Envoy for Holocaust Issues")</f>
        <v>Special Envoy for Holocaust Issues</v>
      </c>
      <c r="D922" s="59" t="str">
        <f>IFERROR(__xludf.DUMMYFUNCTION("""COMPUTED_VALUE"""),"X")</f>
        <v>X</v>
      </c>
      <c r="E922" s="60" t="str">
        <f>IFERROR(__xludf.DUMMYFUNCTION("""COMPUTED_VALUE"""),"https://x.com/StateSEHI")</f>
        <v>https://x.com/StateSEHI</v>
      </c>
    </row>
    <row r="923">
      <c r="A923" s="59" t="str">
        <f>IFERROR(__xludf.DUMMYFUNCTION("""COMPUTED_VALUE"""),"EUR")</f>
        <v>EUR</v>
      </c>
      <c r="B923" s="59" t="str">
        <f>IFERROR(__xludf.DUMMYFUNCTION("""COMPUTED_VALUE"""),"United States")</f>
        <v>United States</v>
      </c>
      <c r="C923" s="59" t="str">
        <f>IFERROR(__xludf.DUMMYFUNCTION("""COMPUTED_VALUE"""),"Special Envoy to Northern Ireland for Economic Affair")</f>
        <v>Special Envoy to Northern Ireland for Economic Affair</v>
      </c>
      <c r="D923" s="59" t="str">
        <f>IFERROR(__xludf.DUMMYFUNCTION("""COMPUTED_VALUE"""),"X")</f>
        <v>X</v>
      </c>
      <c r="E923" s="60" t="str">
        <f>IFERROR(__xludf.DUMMYFUNCTION("""COMPUTED_VALUE"""),"https://x.com/USEnvoyNI")</f>
        <v>https://x.com/USEnvoyNI</v>
      </c>
    </row>
    <row r="924">
      <c r="A924" s="59" t="str">
        <f>IFERROR(__xludf.DUMMYFUNCTION("""COMPUTED_VALUE"""),"EUR")</f>
        <v>EUR</v>
      </c>
      <c r="B924" s="59" t="str">
        <f>IFERROR(__xludf.DUMMYFUNCTION("""COMPUTED_VALUE"""),"Vatican City")</f>
        <v>Vatican City</v>
      </c>
      <c r="C924" s="59" t="str">
        <f>IFERROR(__xludf.DUMMYFUNCTION("""COMPUTED_VALUE"""),"U.S. Embassy Holy See")</f>
        <v>U.S. Embassy Holy See</v>
      </c>
      <c r="D924" s="59" t="str">
        <f>IFERROR(__xludf.DUMMYFUNCTION("""COMPUTED_VALUE"""),"Facebook")</f>
        <v>Facebook</v>
      </c>
      <c r="E924" s="60" t="str">
        <f>IFERROR(__xludf.DUMMYFUNCTION("""COMPUTED_VALUE"""),"https://www.facebook.com/holysee.usembassy/")</f>
        <v>https://www.facebook.com/holysee.usembassy/</v>
      </c>
    </row>
    <row r="925">
      <c r="A925" s="59" t="str">
        <f>IFERROR(__xludf.DUMMYFUNCTION("""COMPUTED_VALUE"""),"EUR")</f>
        <v>EUR</v>
      </c>
      <c r="B925" s="59" t="str">
        <f>IFERROR(__xludf.DUMMYFUNCTION("""COMPUTED_VALUE"""),"Vatican City")</f>
        <v>Vatican City</v>
      </c>
      <c r="C925" s="59" t="str">
        <f>IFERROR(__xludf.DUMMYFUNCTION("""COMPUTED_VALUE"""),"U.S. Embassy Holy See")</f>
        <v>U.S. Embassy Holy See</v>
      </c>
      <c r="D925" s="59" t="str">
        <f>IFERROR(__xludf.DUMMYFUNCTION("""COMPUTED_VALUE"""),"Instagram")</f>
        <v>Instagram</v>
      </c>
      <c r="E925" s="60" t="str">
        <f>IFERROR(__xludf.DUMMYFUNCTION("""COMPUTED_VALUE"""),"https://www.instagram.com/usinholysee/")</f>
        <v>https://www.instagram.com/usinholysee/</v>
      </c>
    </row>
    <row r="926">
      <c r="A926" s="59" t="str">
        <f>IFERROR(__xludf.DUMMYFUNCTION("""COMPUTED_VALUE"""),"EUR")</f>
        <v>EUR</v>
      </c>
      <c r="B926" s="59" t="str">
        <f>IFERROR(__xludf.DUMMYFUNCTION("""COMPUTED_VALUE"""),"Vatican City")</f>
        <v>Vatican City</v>
      </c>
      <c r="C926" s="59" t="str">
        <f>IFERROR(__xludf.DUMMYFUNCTION("""COMPUTED_VALUE"""),"U.S. Embassy Holy See")</f>
        <v>U.S. Embassy Holy See</v>
      </c>
      <c r="D926" s="59" t="str">
        <f>IFERROR(__xludf.DUMMYFUNCTION("""COMPUTED_VALUE"""),"X")</f>
        <v>X</v>
      </c>
      <c r="E926" s="60" t="str">
        <f>IFERROR(__xludf.DUMMYFUNCTION("""COMPUTED_VALUE"""),"https://x.com/USinHolySee")</f>
        <v>https://x.com/USinHolySee</v>
      </c>
    </row>
    <row r="927">
      <c r="A927" s="59" t="str">
        <f>IFERROR(__xludf.DUMMYFUNCTION("""COMPUTED_VALUE"""),"EUR")</f>
        <v>EUR</v>
      </c>
      <c r="B927" s="59" t="str">
        <f>IFERROR(__xludf.DUMMYFUNCTION("""COMPUTED_VALUE"""),"Vatican City")</f>
        <v>Vatican City</v>
      </c>
      <c r="C927" s="59" t="str">
        <f>IFERROR(__xludf.DUMMYFUNCTION("""COMPUTED_VALUE"""),"U.S. Embassy Holy See")</f>
        <v>U.S. Embassy Holy See</v>
      </c>
      <c r="D927" s="59" t="str">
        <f>IFERROR(__xludf.DUMMYFUNCTION("""COMPUTED_VALUE"""),"YouTube")</f>
        <v>YouTube</v>
      </c>
      <c r="E927" s="60" t="str">
        <f>IFERROR(__xludf.DUMMYFUNCTION("""COMPUTED_VALUE"""),"youtube.com/user/usembassyvatican")</f>
        <v>youtube.com/user/usembassyvatican</v>
      </c>
    </row>
    <row r="928">
      <c r="A928" s="59" t="str">
        <f>IFERROR(__xludf.DUMMYFUNCTION("""COMPUTED_VALUE"""),"IO")</f>
        <v>IO</v>
      </c>
      <c r="B928" s="59" t="str">
        <f>IFERROR(__xludf.DUMMYFUNCTION("""COMPUTED_VALUE"""),"Austria")</f>
        <v>Austria</v>
      </c>
      <c r="C928" s="59" t="str">
        <f>IFERROR(__xludf.DUMMYFUNCTION("""COMPUTED_VALUE"""),"U.S. Mission to the International Organizations in Vienna")</f>
        <v>U.S. Mission to the International Organizations in Vienna</v>
      </c>
      <c r="D928" s="59" t="str">
        <f>IFERROR(__xludf.DUMMYFUNCTION("""COMPUTED_VALUE"""),"Facebook")</f>
        <v>Facebook</v>
      </c>
      <c r="E928" s="60" t="str">
        <f>IFERROR(__xludf.DUMMYFUNCTION("""COMPUTED_VALUE"""),"https://www.facebook.com/usunvie")</f>
        <v>https://www.facebook.com/usunvie</v>
      </c>
    </row>
    <row r="929">
      <c r="A929" s="59" t="str">
        <f>IFERROR(__xludf.DUMMYFUNCTION("""COMPUTED_VALUE"""),"IO")</f>
        <v>IO</v>
      </c>
      <c r="B929" s="59" t="str">
        <f>IFERROR(__xludf.DUMMYFUNCTION("""COMPUTED_VALUE"""),"Austria")</f>
        <v>Austria</v>
      </c>
      <c r="C929" s="59" t="str">
        <f>IFERROR(__xludf.DUMMYFUNCTION("""COMPUTED_VALUE"""),"U.S. Mission to the International Organizations in Vienna")</f>
        <v>U.S. Mission to the International Organizations in Vienna</v>
      </c>
      <c r="D929" s="59" t="str">
        <f>IFERROR(__xludf.DUMMYFUNCTION("""COMPUTED_VALUE"""),"Instagram")</f>
        <v>Instagram</v>
      </c>
      <c r="E929" s="60" t="str">
        <f>IFERROR(__xludf.DUMMYFUNCTION("""COMPUTED_VALUE"""),"https://www.instagram.com/usunvie")</f>
        <v>https://www.instagram.com/usunvie</v>
      </c>
    </row>
    <row r="930">
      <c r="A930" s="59" t="str">
        <f>IFERROR(__xludf.DUMMYFUNCTION("""COMPUTED_VALUE"""),"IO")</f>
        <v>IO</v>
      </c>
      <c r="B930" s="59" t="str">
        <f>IFERROR(__xludf.DUMMYFUNCTION("""COMPUTED_VALUE"""),"Austria")</f>
        <v>Austria</v>
      </c>
      <c r="C930" s="59" t="str">
        <f>IFERROR(__xludf.DUMMYFUNCTION("""COMPUTED_VALUE"""),"U.S. Mission to the International Organizations in Vienna")</f>
        <v>U.S. Mission to the International Organizations in Vienna</v>
      </c>
      <c r="D930" s="59" t="str">
        <f>IFERROR(__xludf.DUMMYFUNCTION("""COMPUTED_VALUE"""),"LinkedIn")</f>
        <v>LinkedIn</v>
      </c>
      <c r="E930" s="60" t="str">
        <f>IFERROR(__xludf.DUMMYFUNCTION("""COMPUTED_VALUE"""),"https://www.linkedin.com/company/usunvie")</f>
        <v>https://www.linkedin.com/company/usunvie</v>
      </c>
    </row>
    <row r="931">
      <c r="A931" s="59" t="str">
        <f>IFERROR(__xludf.DUMMYFUNCTION("""COMPUTED_VALUE"""),"IO")</f>
        <v>IO</v>
      </c>
      <c r="B931" s="59" t="str">
        <f>IFERROR(__xludf.DUMMYFUNCTION("""COMPUTED_VALUE"""),"Austria")</f>
        <v>Austria</v>
      </c>
      <c r="C931" s="59" t="str">
        <f>IFERROR(__xludf.DUMMYFUNCTION("""COMPUTED_VALUE"""),"U.S. Mission to the International Organizations in Vienna")</f>
        <v>U.S. Mission to the International Organizations in Vienna</v>
      </c>
      <c r="D931" s="59" t="str">
        <f>IFERROR(__xludf.DUMMYFUNCTION("""COMPUTED_VALUE"""),"X")</f>
        <v>X</v>
      </c>
      <c r="E931" s="60" t="str">
        <f>IFERROR(__xludf.DUMMYFUNCTION("""COMPUTED_VALUE"""),"https://x.com/usunvie")</f>
        <v>https://x.com/usunvie</v>
      </c>
    </row>
    <row r="932">
      <c r="A932" s="59" t="str">
        <f>IFERROR(__xludf.DUMMYFUNCTION("""COMPUTED_VALUE"""),"IO")</f>
        <v>IO</v>
      </c>
      <c r="B932" s="59" t="str">
        <f>IFERROR(__xludf.DUMMYFUNCTION("""COMPUTED_VALUE"""),"Austria")</f>
        <v>Austria</v>
      </c>
      <c r="C932" s="59" t="str">
        <f>IFERROR(__xludf.DUMMYFUNCTION("""COMPUTED_VALUE"""),"U.S. Mission to the International Organizations in Vienna")</f>
        <v>U.S. Mission to the International Organizations in Vienna</v>
      </c>
      <c r="D932" s="59" t="str">
        <f>IFERROR(__xludf.DUMMYFUNCTION("""COMPUTED_VALUE"""),"YouTube")</f>
        <v>YouTube</v>
      </c>
      <c r="E932" s="60" t="str">
        <f>IFERROR(__xludf.DUMMYFUNCTION("""COMPUTED_VALUE"""),"https://www.youtube.com/@usunvie")</f>
        <v>https://www.youtube.com/@usunvie</v>
      </c>
    </row>
    <row r="933">
      <c r="A933" s="59" t="str">
        <f>IFERROR(__xludf.DUMMYFUNCTION("""COMPUTED_VALUE"""),"IO")</f>
        <v>IO</v>
      </c>
      <c r="B933" s="59" t="str">
        <f>IFERROR(__xludf.DUMMYFUNCTION("""COMPUTED_VALUE"""),"Austria")</f>
        <v>Austria</v>
      </c>
      <c r="C933" s="59" t="str">
        <f>IFERROR(__xludf.DUMMYFUNCTION("""COMPUTED_VALUE"""),"U.S. Mission to the OSCE")</f>
        <v>U.S. Mission to the OSCE</v>
      </c>
      <c r="D933" s="59" t="str">
        <f>IFERROR(__xludf.DUMMYFUNCTION("""COMPUTED_VALUE"""),"Facebook")</f>
        <v>Facebook</v>
      </c>
      <c r="E933" s="60" t="str">
        <f>IFERROR(__xludf.DUMMYFUNCTION("""COMPUTED_VALUE"""),"https://www.facebook.com/USOSCE/")</f>
        <v>https://www.facebook.com/USOSCE/</v>
      </c>
    </row>
    <row r="934">
      <c r="A934" s="59" t="str">
        <f>IFERROR(__xludf.DUMMYFUNCTION("""COMPUTED_VALUE"""),"IO")</f>
        <v>IO</v>
      </c>
      <c r="B934" s="59" t="str">
        <f>IFERROR(__xludf.DUMMYFUNCTION("""COMPUTED_VALUE"""),"Austria")</f>
        <v>Austria</v>
      </c>
      <c r="C934" s="59" t="str">
        <f>IFERROR(__xludf.DUMMYFUNCTION("""COMPUTED_VALUE"""),"U.S. Mission to the OSCE")</f>
        <v>U.S. Mission to the OSCE</v>
      </c>
      <c r="D934" s="59" t="str">
        <f>IFERROR(__xludf.DUMMYFUNCTION("""COMPUTED_VALUE"""),"X")</f>
        <v>X</v>
      </c>
      <c r="E934" s="60" t="str">
        <f>IFERROR(__xludf.DUMMYFUNCTION("""COMPUTED_VALUE"""),"https://x.com/usosce")</f>
        <v>https://x.com/usosce</v>
      </c>
    </row>
    <row r="935">
      <c r="A935" s="59" t="str">
        <f>IFERROR(__xludf.DUMMYFUNCTION("""COMPUTED_VALUE"""),"IO")</f>
        <v>IO</v>
      </c>
      <c r="B935" s="59" t="str">
        <f>IFERROR(__xludf.DUMMYFUNCTION("""COMPUTED_VALUE"""),"Austria")</f>
        <v>Austria</v>
      </c>
      <c r="C935" s="59" t="str">
        <f>IFERROR(__xludf.DUMMYFUNCTION("""COMPUTED_VALUE"""),"U.S. Ambassador to the OSCE")</f>
        <v>U.S. Ambassador to the OSCE</v>
      </c>
      <c r="D935" s="59" t="str">
        <f>IFERROR(__xludf.DUMMYFUNCTION("""COMPUTED_VALUE"""),"X")</f>
        <v>X</v>
      </c>
      <c r="E935" s="60" t="str">
        <f>IFERROR(__xludf.DUMMYFUNCTION("""COMPUTED_VALUE"""),"https://x.com/USAmbOSCE")</f>
        <v>https://x.com/USAmbOSCE</v>
      </c>
    </row>
    <row r="936">
      <c r="A936" s="59" t="str">
        <f>IFERROR(__xludf.DUMMYFUNCTION("""COMPUTED_VALUE"""),"IO")</f>
        <v>IO</v>
      </c>
      <c r="B936" s="59" t="str">
        <f>IFERROR(__xludf.DUMMYFUNCTION("""COMPUTED_VALUE"""),"Austria")</f>
        <v>Austria</v>
      </c>
      <c r="C936" s="59" t="str">
        <f>IFERROR(__xludf.DUMMYFUNCTION("""COMPUTED_VALUE"""),"U.S. Ambassador to the OSCE")</f>
        <v>U.S. Ambassador to the OSCE</v>
      </c>
      <c r="D936" s="59" t="str">
        <f>IFERROR(__xludf.DUMMYFUNCTION("""COMPUTED_VALUE"""),"VKontakte")</f>
        <v>VKontakte</v>
      </c>
      <c r="E936" s="60" t="str">
        <f>IFERROR(__xludf.DUMMYFUNCTION("""COMPUTED_VALUE"""),"https://vk.com/usosce")</f>
        <v>https://vk.com/usosce</v>
      </c>
    </row>
    <row r="937">
      <c r="A937" s="59" t="str">
        <f>IFERROR(__xludf.DUMMYFUNCTION("""COMPUTED_VALUE"""),"IO")</f>
        <v>IO</v>
      </c>
      <c r="B937" s="59" t="str">
        <f>IFERROR(__xludf.DUMMYFUNCTION("""COMPUTED_VALUE"""),"Ethiopia")</f>
        <v>Ethiopia</v>
      </c>
      <c r="C937" s="59" t="str">
        <f>IFERROR(__xludf.DUMMYFUNCTION("""COMPUTED_VALUE"""),"U.S. Mission to the AU")</f>
        <v>U.S. Mission to the AU</v>
      </c>
      <c r="D937" s="59" t="str">
        <f>IFERROR(__xludf.DUMMYFUNCTION("""COMPUTED_VALUE"""),"Facebook")</f>
        <v>Facebook</v>
      </c>
      <c r="E937" s="60" t="str">
        <f>IFERROR(__xludf.DUMMYFUNCTION("""COMPUTED_VALUE"""),"https://www.facebook.com/USAU09/")</f>
        <v>https://www.facebook.com/USAU09/</v>
      </c>
    </row>
    <row r="938">
      <c r="A938" s="59" t="str">
        <f>IFERROR(__xludf.DUMMYFUNCTION("""COMPUTED_VALUE"""),"IO")</f>
        <v>IO</v>
      </c>
      <c r="B938" s="59" t="str">
        <f>IFERROR(__xludf.DUMMYFUNCTION("""COMPUTED_VALUE"""),"Ethiopia")</f>
        <v>Ethiopia</v>
      </c>
      <c r="C938" s="59" t="str">
        <f>IFERROR(__xludf.DUMMYFUNCTION("""COMPUTED_VALUE"""),"U.S. Mission to the AU")</f>
        <v>U.S. Mission to the AU</v>
      </c>
      <c r="D938" s="59" t="str">
        <f>IFERROR(__xludf.DUMMYFUNCTION("""COMPUTED_VALUE"""),"X")</f>
        <v>X</v>
      </c>
      <c r="E938" s="60" t="str">
        <f>IFERROR(__xludf.DUMMYFUNCTION("""COMPUTED_VALUE"""),"https://x.com/US_AU")</f>
        <v>https://x.com/US_AU</v>
      </c>
    </row>
    <row r="939">
      <c r="A939" s="59" t="str">
        <f>IFERROR(__xludf.DUMMYFUNCTION("""COMPUTED_VALUE"""),"IO")</f>
        <v>IO</v>
      </c>
      <c r="B939" s="59" t="str">
        <f>IFERROR(__xludf.DUMMYFUNCTION("""COMPUTED_VALUE"""),"France")</f>
        <v>France</v>
      </c>
      <c r="C939" s="59" t="str">
        <f>IFERROR(__xludf.DUMMYFUNCTION("""COMPUTED_VALUE"""),"U.S. Mission to UNESCO")</f>
        <v>U.S. Mission to UNESCO</v>
      </c>
      <c r="D939" s="59" t="str">
        <f>IFERROR(__xludf.DUMMYFUNCTION("""COMPUTED_VALUE"""),"X")</f>
        <v>X</v>
      </c>
      <c r="E939" s="60" t="str">
        <f>IFERROR(__xludf.DUMMYFUNCTION("""COMPUTED_VALUE"""),"https://x.com/USUNESCO")</f>
        <v>https://x.com/USUNESCO</v>
      </c>
    </row>
    <row r="940">
      <c r="A940" s="59" t="str">
        <f>IFERROR(__xludf.DUMMYFUNCTION("""COMPUTED_VALUE"""),"IO")</f>
        <v>IO</v>
      </c>
      <c r="B940" s="59" t="str">
        <f>IFERROR(__xludf.DUMMYFUNCTION("""COMPUTED_VALUE"""),"Italy")</f>
        <v>Italy</v>
      </c>
      <c r="C940" s="59" t="str">
        <f>IFERROR(__xludf.DUMMYFUNCTION("""COMPUTED_VALUE"""),"U.S. Ambassador to UN Agencies")</f>
        <v>U.S. Ambassador to UN Agencies</v>
      </c>
      <c r="D940" s="59" t="str">
        <f>IFERROR(__xludf.DUMMYFUNCTION("""COMPUTED_VALUE"""),"X")</f>
        <v>X</v>
      </c>
      <c r="E940" s="60" t="str">
        <f>IFERROR(__xludf.DUMMYFUNCTION("""COMPUTED_VALUE"""),"https://x.com/USUNRomeAmb")</f>
        <v>https://x.com/USUNRomeAmb</v>
      </c>
    </row>
    <row r="941">
      <c r="A941" s="59" t="str">
        <f>IFERROR(__xludf.DUMMYFUNCTION("""COMPUTED_VALUE"""),"IO")</f>
        <v>IO</v>
      </c>
      <c r="B941" s="59" t="str">
        <f>IFERROR(__xludf.DUMMYFUNCTION("""COMPUTED_VALUE"""),"Italy")</f>
        <v>Italy</v>
      </c>
      <c r="C941" s="59" t="str">
        <f>IFERROR(__xludf.DUMMYFUNCTION("""COMPUTED_VALUE"""),"U.S. Mission to the UN Agencies in Rome")</f>
        <v>U.S. Mission to the UN Agencies in Rome</v>
      </c>
      <c r="D941" s="59" t="str">
        <f>IFERROR(__xludf.DUMMYFUNCTION("""COMPUTED_VALUE"""),"Facebook")</f>
        <v>Facebook</v>
      </c>
      <c r="E941" s="60" t="str">
        <f>IFERROR(__xludf.DUMMYFUNCTION("""COMPUTED_VALUE"""),"https://www.facebook.com/usunrome/")</f>
        <v>https://www.facebook.com/usunrome/</v>
      </c>
    </row>
    <row r="942">
      <c r="A942" s="59" t="str">
        <f>IFERROR(__xludf.DUMMYFUNCTION("""COMPUTED_VALUE"""),"IO")</f>
        <v>IO</v>
      </c>
      <c r="B942" s="59" t="str">
        <f>IFERROR(__xludf.DUMMYFUNCTION("""COMPUTED_VALUE"""),"Italy")</f>
        <v>Italy</v>
      </c>
      <c r="C942" s="59" t="str">
        <f>IFERROR(__xludf.DUMMYFUNCTION("""COMPUTED_VALUE"""),"U.S. Mission to the UN Agencies in Rome")</f>
        <v>U.S. Mission to the UN Agencies in Rome</v>
      </c>
      <c r="D942" s="59" t="str">
        <f>IFERROR(__xludf.DUMMYFUNCTION("""COMPUTED_VALUE"""),"Instagram")</f>
        <v>Instagram</v>
      </c>
      <c r="E942" s="60" t="str">
        <f>IFERROR(__xludf.DUMMYFUNCTION("""COMPUTED_VALUE"""),"https://www.instagram.com/usunrome")</f>
        <v>https://www.instagram.com/usunrome</v>
      </c>
    </row>
    <row r="943">
      <c r="A943" s="59" t="str">
        <f>IFERROR(__xludf.DUMMYFUNCTION("""COMPUTED_VALUE"""),"IO")</f>
        <v>IO</v>
      </c>
      <c r="B943" s="59" t="str">
        <f>IFERROR(__xludf.DUMMYFUNCTION("""COMPUTED_VALUE"""),"Italy")</f>
        <v>Italy</v>
      </c>
      <c r="C943" s="59" t="str">
        <f>IFERROR(__xludf.DUMMYFUNCTION("""COMPUTED_VALUE"""),"U.S. Mission to the UN Agencies in Rome")</f>
        <v>U.S. Mission to the UN Agencies in Rome</v>
      </c>
      <c r="D943" s="59" t="str">
        <f>IFERROR(__xludf.DUMMYFUNCTION("""COMPUTED_VALUE"""),"LinkedIn")</f>
        <v>LinkedIn</v>
      </c>
      <c r="E943" s="60" t="str">
        <f>IFERROR(__xludf.DUMMYFUNCTION("""COMPUTED_VALUE"""),"https://www.linkedin.com/company/us-mission-to-the-un-agencies-in-rome/")</f>
        <v>https://www.linkedin.com/company/us-mission-to-the-un-agencies-in-rome/</v>
      </c>
    </row>
    <row r="944">
      <c r="A944" s="59" t="str">
        <f>IFERROR(__xludf.DUMMYFUNCTION("""COMPUTED_VALUE"""),"IO")</f>
        <v>IO</v>
      </c>
      <c r="B944" s="59" t="str">
        <f>IFERROR(__xludf.DUMMYFUNCTION("""COMPUTED_VALUE"""),"Italy")</f>
        <v>Italy</v>
      </c>
      <c r="C944" s="59" t="str">
        <f>IFERROR(__xludf.DUMMYFUNCTION("""COMPUTED_VALUE"""),"U.S. Mission to the UN Agencies in Rome")</f>
        <v>U.S. Mission to the UN Agencies in Rome</v>
      </c>
      <c r="D944" s="59" t="str">
        <f>IFERROR(__xludf.DUMMYFUNCTION("""COMPUTED_VALUE"""),"X")</f>
        <v>X</v>
      </c>
      <c r="E944" s="60" t="str">
        <f>IFERROR(__xludf.DUMMYFUNCTION("""COMPUTED_VALUE"""),"https://x.com/USUNRome")</f>
        <v>https://x.com/USUNRome</v>
      </c>
    </row>
    <row r="945">
      <c r="A945" s="62" t="str">
        <f>IFERROR(__xludf.DUMMYFUNCTION("""COMPUTED_VALUE"""),"IO")</f>
        <v>IO</v>
      </c>
      <c r="B945" s="62" t="str">
        <f>IFERROR(__xludf.DUMMYFUNCTION("""COMPUTED_VALUE"""),"Italy")</f>
        <v>Italy</v>
      </c>
      <c r="C945" s="62" t="str">
        <f>IFERROR(__xludf.DUMMYFUNCTION("""COMPUTED_VALUE"""),"U.S. Mission to the UN Agencies in Rome")</f>
        <v>U.S. Mission to the UN Agencies in Rome</v>
      </c>
      <c r="D945" s="62" t="str">
        <f>IFERROR(__xludf.DUMMYFUNCTION("""COMPUTED_VALUE"""),"YouTube")</f>
        <v>YouTube</v>
      </c>
      <c r="E945" s="63" t="str">
        <f>IFERROR(__xludf.DUMMYFUNCTION("""COMPUTED_VALUE"""),"https://www.youtube.com/@USUNRome")</f>
        <v>https://www.youtube.com/@USUNRome</v>
      </c>
    </row>
    <row r="946">
      <c r="A946" s="62" t="str">
        <f>IFERROR(__xludf.DUMMYFUNCTION("""COMPUTED_VALUE"""),"IO")</f>
        <v>IO</v>
      </c>
      <c r="B946" s="62" t="str">
        <f>IFERROR(__xludf.DUMMYFUNCTION("""COMPUTED_VALUE"""),"Switzerland")</f>
        <v>Switzerland</v>
      </c>
      <c r="C946" s="62" t="str">
        <f>IFERROR(__xludf.DUMMYFUNCTION("""COMPUTED_VALUE"""),"U.S. Mission Geneva")</f>
        <v>U.S. Mission Geneva</v>
      </c>
      <c r="D946" s="62" t="str">
        <f>IFERROR(__xludf.DUMMYFUNCTION("""COMPUTED_VALUE"""),"Facebook")</f>
        <v>Facebook</v>
      </c>
      <c r="E946" s="63" t="str">
        <f>IFERROR(__xludf.DUMMYFUNCTION("""COMPUTED_VALUE"""),"https://www.facebook.com/usmissiongeneva")</f>
        <v>https://www.facebook.com/usmissiongeneva</v>
      </c>
    </row>
    <row r="947">
      <c r="A947" s="62" t="str">
        <f>IFERROR(__xludf.DUMMYFUNCTION("""COMPUTED_VALUE"""),"IO")</f>
        <v>IO</v>
      </c>
      <c r="B947" s="62" t="str">
        <f>IFERROR(__xludf.DUMMYFUNCTION("""COMPUTED_VALUE"""),"Switzerland")</f>
        <v>Switzerland</v>
      </c>
      <c r="C947" s="62" t="str">
        <f>IFERROR(__xludf.DUMMYFUNCTION("""COMPUTED_VALUE"""),"U.S. Mission Geneva")</f>
        <v>U.S. Mission Geneva</v>
      </c>
      <c r="D947" s="62" t="str">
        <f>IFERROR(__xludf.DUMMYFUNCTION("""COMPUTED_VALUE"""),"Flickr")</f>
        <v>Flickr</v>
      </c>
      <c r="E947" s="63" t="str">
        <f>IFERROR(__xludf.DUMMYFUNCTION("""COMPUTED_VALUE"""),"https://www.flickr.com/photos/us-mission/")</f>
        <v>https://www.flickr.com/photos/us-mission/</v>
      </c>
    </row>
    <row r="948">
      <c r="A948" s="62" t="str">
        <f>IFERROR(__xludf.DUMMYFUNCTION("""COMPUTED_VALUE"""),"IO")</f>
        <v>IO</v>
      </c>
      <c r="B948" s="62" t="str">
        <f>IFERROR(__xludf.DUMMYFUNCTION("""COMPUTED_VALUE"""),"Switzerland")</f>
        <v>Switzerland</v>
      </c>
      <c r="C948" s="62" t="str">
        <f>IFERROR(__xludf.DUMMYFUNCTION("""COMPUTED_VALUE"""),"U.S. Mission Geneva")</f>
        <v>U.S. Mission Geneva</v>
      </c>
      <c r="D948" s="62" t="str">
        <f>IFERROR(__xludf.DUMMYFUNCTION("""COMPUTED_VALUE"""),"X")</f>
        <v>X</v>
      </c>
      <c r="E948" s="63" t="str">
        <f>IFERROR(__xludf.DUMMYFUNCTION("""COMPUTED_VALUE"""),"https://x.com/usmissiongeneva")</f>
        <v>https://x.com/usmissiongeneva</v>
      </c>
    </row>
    <row r="949">
      <c r="A949" s="62" t="str">
        <f>IFERROR(__xludf.DUMMYFUNCTION("""COMPUTED_VALUE"""),"IO")</f>
        <v>IO</v>
      </c>
      <c r="B949" s="62" t="str">
        <f>IFERROR(__xludf.DUMMYFUNCTION("""COMPUTED_VALUE"""),"Switzerland")</f>
        <v>Switzerland</v>
      </c>
      <c r="C949" s="62" t="str">
        <f>IFERROR(__xludf.DUMMYFUNCTION("""COMPUTED_VALUE"""),"U.S. Mission Geneva")</f>
        <v>U.S. Mission Geneva</v>
      </c>
      <c r="D949" s="62" t="str">
        <f>IFERROR(__xludf.DUMMYFUNCTION("""COMPUTED_VALUE"""),"Instagram")</f>
        <v>Instagram</v>
      </c>
      <c r="E949" s="63" t="str">
        <f>IFERROR(__xludf.DUMMYFUNCTION("""COMPUTED_VALUE"""),"https://www.instagram.com/usmissiongeneva/")</f>
        <v>https://www.instagram.com/usmissiongeneva/</v>
      </c>
    </row>
    <row r="950">
      <c r="A950" s="62" t="str">
        <f>IFERROR(__xludf.DUMMYFUNCTION("""COMPUTED_VALUE"""),"IO")</f>
        <v>IO</v>
      </c>
      <c r="B950" s="62" t="str">
        <f>IFERROR(__xludf.DUMMYFUNCTION("""COMPUTED_VALUE"""),"Switzerland")</f>
        <v>Switzerland</v>
      </c>
      <c r="C950" s="62" t="str">
        <f>IFERROR(__xludf.DUMMYFUNCTION("""COMPUTED_VALUE"""),"U.S. Mission Geneva")</f>
        <v>U.S. Mission Geneva</v>
      </c>
      <c r="D950" s="62" t="str">
        <f>IFERROR(__xludf.DUMMYFUNCTION("""COMPUTED_VALUE"""),"LinkedIn")</f>
        <v>LinkedIn</v>
      </c>
      <c r="E950" s="63" t="str">
        <f>IFERROR(__xludf.DUMMYFUNCTION("""COMPUTED_VALUE"""),"https://www.linkedin.com/company/usmissiongeneva/")</f>
        <v>https://www.linkedin.com/company/usmissiongeneva/</v>
      </c>
    </row>
    <row r="951">
      <c r="A951" s="62" t="str">
        <f>IFERROR(__xludf.DUMMYFUNCTION("""COMPUTED_VALUE"""),"IO")</f>
        <v>IO</v>
      </c>
      <c r="B951" s="62" t="str">
        <f>IFERROR(__xludf.DUMMYFUNCTION("""COMPUTED_VALUE"""),"Switzerland")</f>
        <v>Switzerland</v>
      </c>
      <c r="C951" s="62" t="str">
        <f>IFERROR(__xludf.DUMMYFUNCTION("""COMPUTED_VALUE"""),"U.S. Mission Geneva")</f>
        <v>U.S. Mission Geneva</v>
      </c>
      <c r="D951" s="62" t="str">
        <f>IFERROR(__xludf.DUMMYFUNCTION("""COMPUTED_VALUE"""),"YouTube")</f>
        <v>YouTube</v>
      </c>
      <c r="E951" s="63" t="str">
        <f>IFERROR(__xludf.DUMMYFUNCTION("""COMPUTED_VALUE"""),"https://www.youtube.com/@usmissiongeneva")</f>
        <v>https://www.youtube.com/@usmissiongeneva</v>
      </c>
    </row>
    <row r="952">
      <c r="A952" s="59" t="str">
        <f>IFERROR(__xludf.DUMMYFUNCTION("""COMPUTED_VALUE"""),"IO")</f>
        <v>IO</v>
      </c>
      <c r="B952" s="59" t="str">
        <f>IFERROR(__xludf.DUMMYFUNCTION("""COMPUTED_VALUE"""),"Switzerland")</f>
        <v>Switzerland</v>
      </c>
      <c r="C952" s="59" t="str">
        <f>IFERROR(__xludf.DUMMYFUNCTION("""COMPUTED_VALUE"""),"U.S. Permanent Representative to the Conference on Disarmament")</f>
        <v>U.S. Permanent Representative to the Conference on Disarmament</v>
      </c>
      <c r="D952" s="59" t="str">
        <f>IFERROR(__xludf.DUMMYFUNCTION("""COMPUTED_VALUE"""),"X")</f>
        <v>X</v>
      </c>
      <c r="E952" s="60" t="str">
        <f>IFERROR(__xludf.DUMMYFUNCTION("""COMPUTED_VALUE"""),"https://x.com/USAmbCD")</f>
        <v>https://x.com/USAmbCD</v>
      </c>
    </row>
    <row r="953">
      <c r="A953" s="59" t="str">
        <f>IFERROR(__xludf.DUMMYFUNCTION("""COMPUTED_VALUE"""),"IO")</f>
        <v>IO</v>
      </c>
      <c r="B953" s="59" t="str">
        <f>IFERROR(__xludf.DUMMYFUNCTION("""COMPUTED_VALUE"""),"Switzerland")</f>
        <v>Switzerland</v>
      </c>
      <c r="C953" s="59" t="str">
        <f>IFERROR(__xludf.DUMMYFUNCTION("""COMPUTED_VALUE"""),"U.S. Permanent Representative to the UN Human Rights Council")</f>
        <v>U.S. Permanent Representative to the UN Human Rights Council</v>
      </c>
      <c r="D953" s="59" t="str">
        <f>IFERROR(__xludf.DUMMYFUNCTION("""COMPUTED_VALUE"""),"X")</f>
        <v>X</v>
      </c>
      <c r="E953" s="60" t="str">
        <f>IFERROR(__xludf.DUMMYFUNCTION("""COMPUTED_VALUE"""),"https://x.com/USAmbHRC")</f>
        <v>https://x.com/USAmbHRC</v>
      </c>
    </row>
    <row r="954">
      <c r="A954" s="59" t="str">
        <f>IFERROR(__xludf.DUMMYFUNCTION("""COMPUTED_VALUE"""),"IO")</f>
        <v>IO</v>
      </c>
      <c r="B954" s="59" t="str">
        <f>IFERROR(__xludf.DUMMYFUNCTION("""COMPUTED_VALUE"""),"Switzerland")</f>
        <v>Switzerland</v>
      </c>
      <c r="C954" s="59" t="str">
        <f>IFERROR(__xludf.DUMMYFUNCTION("""COMPUTED_VALUE"""),"U.S. Mission Geneva")</f>
        <v>U.S. Mission Geneva</v>
      </c>
      <c r="D954" s="59" t="str">
        <f>IFERROR(__xludf.DUMMYFUNCTION("""COMPUTED_VALUE"""),"X")</f>
        <v>X</v>
      </c>
      <c r="E954" s="60" t="str">
        <f>IFERROR(__xludf.DUMMYFUNCTION("""COMPUTED_VALUE"""),"https://x.com/usambgva")</f>
        <v>https://x.com/usambgva</v>
      </c>
    </row>
    <row r="955">
      <c r="A955" s="59" t="str">
        <f>IFERROR(__xludf.DUMMYFUNCTION("""COMPUTED_VALUE"""),"IO")</f>
        <v>IO</v>
      </c>
      <c r="B955" s="59" t="str">
        <f>IFERROR(__xludf.DUMMYFUNCTION("""COMPUTED_VALUE"""),"United States")</f>
        <v>United States</v>
      </c>
      <c r="C955" s="59" t="str">
        <f>IFERROR(__xludf.DUMMYFUNCTION("""COMPUTED_VALUE"""),"Bureau of International Organization Affairs")</f>
        <v>Bureau of International Organization Affairs</v>
      </c>
      <c r="D955" s="59" t="str">
        <f>IFERROR(__xludf.DUMMYFUNCTION("""COMPUTED_VALUE"""),"X")</f>
        <v>X</v>
      </c>
      <c r="E955" s="60" t="str">
        <f>IFERROR(__xludf.DUMMYFUNCTION("""COMPUTED_VALUE"""),"https://x.com/State_IO")</f>
        <v>https://x.com/State_IO</v>
      </c>
    </row>
    <row r="956">
      <c r="A956" s="59" t="str">
        <f>IFERROR(__xludf.DUMMYFUNCTION("""COMPUTED_VALUE"""),"IO")</f>
        <v>IO</v>
      </c>
      <c r="B956" s="59" t="str">
        <f>IFERROR(__xludf.DUMMYFUNCTION("""COMPUTED_VALUE"""),"United States")</f>
        <v>United States</v>
      </c>
      <c r="C956" s="59" t="str">
        <f>IFERROR(__xludf.DUMMYFUNCTION("""COMPUTED_VALUE"""),"Bureau of International Organization Affairs")</f>
        <v>Bureau of International Organization Affairs</v>
      </c>
      <c r="D956" s="59" t="str">
        <f>IFERROR(__xludf.DUMMYFUNCTION("""COMPUTED_VALUE"""),"YouTube")</f>
        <v>YouTube</v>
      </c>
      <c r="E956" s="60" t="str">
        <f>IFERROR(__xludf.DUMMYFUNCTION("""COMPUTED_VALUE"""),"https://www.youtube.com/@StateIOVideo")</f>
        <v>https://www.youtube.com/@StateIOVideo</v>
      </c>
    </row>
    <row r="957">
      <c r="A957" s="59" t="str">
        <f>IFERROR(__xludf.DUMMYFUNCTION("""COMPUTED_VALUE"""),"IO")</f>
        <v>IO</v>
      </c>
      <c r="B957" s="59" t="str">
        <f>IFERROR(__xludf.DUMMYFUNCTION("""COMPUTED_VALUE"""),"United States")</f>
        <v>United States</v>
      </c>
      <c r="C957" s="59" t="str">
        <f>IFERROR(__xludf.DUMMYFUNCTION("""COMPUTED_VALUE"""),"Bureau of International Organization Affairs")</f>
        <v>Bureau of International Organization Affairs</v>
      </c>
      <c r="D957" s="59" t="str">
        <f>IFERROR(__xludf.DUMMYFUNCTION("""COMPUTED_VALUE"""),"U.S. Department of State - Bureau of International Organization Affairs")</f>
        <v>U.S. Department of State - Bureau of International Organization Affairs</v>
      </c>
      <c r="E957" s="60" t="str">
        <f>IFERROR(__xludf.DUMMYFUNCTION("""COMPUTED_VALUE"""),"https://www.linkedin.com/company/bureau-of-international-organization-affairs ")</f>
        <v>https://www.linkedin.com/company/bureau-of-international-organization-affairs </v>
      </c>
    </row>
    <row r="958">
      <c r="A958" s="59" t="str">
        <f>IFERROR(__xludf.DUMMYFUNCTION("""COMPUTED_VALUE"""),"IO")</f>
        <v>IO</v>
      </c>
      <c r="B958" s="59" t="str">
        <f>IFERROR(__xludf.DUMMYFUNCTION("""COMPUTED_VALUE"""),"United States")</f>
        <v>United States</v>
      </c>
      <c r="C958" s="59" t="str">
        <f>IFERROR(__xludf.DUMMYFUNCTION("""COMPUTED_VALUE"""),"U.S. Ambassador to the Conference on Disarmament and Special Representative for BWC Issues")</f>
        <v>U.S. Ambassador to the Conference on Disarmament and Special Representative for BWC Issues</v>
      </c>
      <c r="D958" s="59" t="str">
        <f>IFERROR(__xludf.DUMMYFUNCTION("""COMPUTED_VALUE"""),"X")</f>
        <v>X</v>
      </c>
      <c r="E958" s="60" t="str">
        <f>IFERROR(__xludf.DUMMYFUNCTION("""COMPUTED_VALUE"""),"https://x.com/USAmbCD")</f>
        <v>https://x.com/USAmbCD</v>
      </c>
    </row>
    <row r="959">
      <c r="A959" s="59" t="str">
        <f>IFERROR(__xludf.DUMMYFUNCTION("""COMPUTED_VALUE"""),"IO")</f>
        <v>IO</v>
      </c>
      <c r="B959" s="59" t="str">
        <f>IFERROR(__xludf.DUMMYFUNCTION("""COMPUTED_VALUE"""),"United States")</f>
        <v>United States</v>
      </c>
      <c r="C959" s="59" t="str">
        <f>IFERROR(__xludf.DUMMYFUNCTION("""COMPUTED_VALUE"""),"U.S. Ambassador to the UN for Management and Reform")</f>
        <v>U.S. Ambassador to the UN for Management and Reform</v>
      </c>
      <c r="D959" s="59" t="str">
        <f>IFERROR(__xludf.DUMMYFUNCTION("""COMPUTED_VALUE"""),"X")</f>
        <v>X</v>
      </c>
      <c r="E959" s="60" t="str">
        <f>IFERROR(__xludf.DUMMYFUNCTION("""COMPUTED_VALUE"""),"https://x.com/AmbUNReform")</f>
        <v>https://x.com/AmbUNReform</v>
      </c>
    </row>
    <row r="960">
      <c r="A960" s="59" t="str">
        <f>IFERROR(__xludf.DUMMYFUNCTION("""COMPUTED_VALUE"""),"IO")</f>
        <v>IO</v>
      </c>
      <c r="B960" s="59" t="str">
        <f>IFERROR(__xludf.DUMMYFUNCTION("""COMPUTED_VALUE"""),"United States")</f>
        <v>United States</v>
      </c>
      <c r="C960" s="59" t="str">
        <f>IFERROR(__xludf.DUMMYFUNCTION("""COMPUTED_VALUE"""),"U.S. Ambassador to the United Nations")</f>
        <v>U.S. Ambassador to the United Nations</v>
      </c>
      <c r="D960" s="59" t="str">
        <f>IFERROR(__xludf.DUMMYFUNCTION("""COMPUTED_VALUE"""),"X")</f>
        <v>X</v>
      </c>
      <c r="E960" s="60" t="str">
        <f>IFERROR(__xludf.DUMMYFUNCTION("""COMPUTED_VALUE"""),"https://x.com/usambun")</f>
        <v>https://x.com/usambun</v>
      </c>
    </row>
    <row r="961">
      <c r="A961" s="59" t="str">
        <f>IFERROR(__xludf.DUMMYFUNCTION("""COMPUTED_VALUE"""),"IO")</f>
        <v>IO</v>
      </c>
      <c r="B961" s="59" t="str">
        <f>IFERROR(__xludf.DUMMYFUNCTION("""COMPUTED_VALUE"""),"United States")</f>
        <v>United States</v>
      </c>
      <c r="C961" s="59" t="str">
        <f>IFERROR(__xludf.DUMMYFUNCTION("""COMPUTED_VALUE"""),"U.S. Mission to the UN")</f>
        <v>U.S. Mission to the UN</v>
      </c>
      <c r="D961" s="59" t="str">
        <f>IFERROR(__xludf.DUMMYFUNCTION("""COMPUTED_VALUE"""),"Facebook")</f>
        <v>Facebook</v>
      </c>
      <c r="E961" s="60" t="str">
        <f>IFERROR(__xludf.DUMMYFUNCTION("""COMPUTED_VALUE"""),"https://www.facebook.com/USattheUN")</f>
        <v>https://www.facebook.com/USattheUN</v>
      </c>
    </row>
    <row r="962">
      <c r="A962" s="59" t="str">
        <f>IFERROR(__xludf.DUMMYFUNCTION("""COMPUTED_VALUE"""),"IO")</f>
        <v>IO</v>
      </c>
      <c r="B962" s="59" t="str">
        <f>IFERROR(__xludf.DUMMYFUNCTION("""COMPUTED_VALUE"""),"United States")</f>
        <v>United States</v>
      </c>
      <c r="C962" s="59" t="str">
        <f>IFERROR(__xludf.DUMMYFUNCTION("""COMPUTED_VALUE"""),"U.S. Mission to the UN")</f>
        <v>U.S. Mission to the UN</v>
      </c>
      <c r="D962" s="59" t="str">
        <f>IFERROR(__xludf.DUMMYFUNCTION("""COMPUTED_VALUE"""),"X")</f>
        <v>X</v>
      </c>
      <c r="E962" s="60" t="str">
        <f>IFERROR(__xludf.DUMMYFUNCTION("""COMPUTED_VALUE"""),"https://x.com/USUNSpox")</f>
        <v>https://x.com/USUNSpox</v>
      </c>
    </row>
    <row r="963">
      <c r="A963" s="59" t="str">
        <f>IFERROR(__xludf.DUMMYFUNCTION("""COMPUTED_VALUE"""),"IO")</f>
        <v>IO</v>
      </c>
      <c r="B963" s="59" t="str">
        <f>IFERROR(__xludf.DUMMYFUNCTION("""COMPUTED_VALUE"""),"United States")</f>
        <v>United States</v>
      </c>
      <c r="C963" s="59" t="str">
        <f>IFERROR(__xludf.DUMMYFUNCTION("""COMPUTED_VALUE"""),"U.S. Mission to the UN")</f>
        <v>U.S. Mission to the UN</v>
      </c>
      <c r="D963" s="59" t="str">
        <f>IFERROR(__xludf.DUMMYFUNCTION("""COMPUTED_VALUE"""),"Instagram")</f>
        <v>Instagram</v>
      </c>
      <c r="E963" s="60" t="str">
        <f>IFERROR(__xludf.DUMMYFUNCTION("""COMPUTED_VALUE"""),"https://www.instagram.com/usun")</f>
        <v>https://www.instagram.com/usun</v>
      </c>
    </row>
    <row r="964">
      <c r="A964" s="59" t="str">
        <f>IFERROR(__xludf.DUMMYFUNCTION("""COMPUTED_VALUE"""),"IO")</f>
        <v>IO</v>
      </c>
      <c r="B964" s="59" t="str">
        <f>IFERROR(__xludf.DUMMYFUNCTION("""COMPUTED_VALUE"""),"United States")</f>
        <v>United States</v>
      </c>
      <c r="C964" s="59" t="str">
        <f>IFERROR(__xludf.DUMMYFUNCTION("""COMPUTED_VALUE"""),"U.S. Mission to the UN")</f>
        <v>U.S. Mission to the UN</v>
      </c>
      <c r="D964" s="59" t="str">
        <f>IFERROR(__xludf.DUMMYFUNCTION("""COMPUTED_VALUE"""),"X")</f>
        <v>X</v>
      </c>
      <c r="E964" s="60" t="str">
        <f>IFERROR(__xludf.DUMMYFUNCTION("""COMPUTED_VALUE"""),"https://x.com/USUN")</f>
        <v>https://x.com/USUN</v>
      </c>
    </row>
    <row r="965">
      <c r="A965" s="59" t="str">
        <f>IFERROR(__xludf.DUMMYFUNCTION("""COMPUTED_VALUE"""),"IO")</f>
        <v>IO</v>
      </c>
      <c r="B965" s="59" t="str">
        <f>IFERROR(__xludf.DUMMYFUNCTION("""COMPUTED_VALUE"""),"United States")</f>
        <v>United States</v>
      </c>
      <c r="C965" s="59" t="str">
        <f>IFERROR(__xludf.DUMMYFUNCTION("""COMPUTED_VALUE"""),"U.S. Mission to the International Civil Aviation Organization")</f>
        <v>U.S. Mission to the International Civil Aviation Organization</v>
      </c>
      <c r="D965" s="59" t="str">
        <f>IFERROR(__xludf.DUMMYFUNCTION("""COMPUTED_VALUE"""),"X")</f>
        <v>X</v>
      </c>
      <c r="E965" s="60" t="str">
        <f>IFERROR(__xludf.DUMMYFUNCTION("""COMPUTED_VALUE"""),"https://x.com/USAmbICAO")</f>
        <v>https://x.com/USAmbICAO</v>
      </c>
    </row>
    <row r="966">
      <c r="A966" s="59" t="str">
        <f>IFERROR(__xludf.DUMMYFUNCTION("""COMPUTED_VALUE"""),"NEA")</f>
        <v>NEA</v>
      </c>
      <c r="B966" s="59" t="str">
        <f>IFERROR(__xludf.DUMMYFUNCTION("""COMPUTED_VALUE"""),"Algeria")</f>
        <v>Algeria</v>
      </c>
      <c r="C966" s="59" t="str">
        <f>IFERROR(__xludf.DUMMYFUNCTION("""COMPUTED_VALUE"""),"U.S. Ambassador to Algeria")</f>
        <v>U.S. Ambassador to Algeria</v>
      </c>
      <c r="D966" s="59" t="str">
        <f>IFERROR(__xludf.DUMMYFUNCTION("""COMPUTED_VALUE"""),"X")</f>
        <v>X</v>
      </c>
      <c r="E966" s="60" t="str">
        <f>IFERROR(__xludf.DUMMYFUNCTION("""COMPUTED_VALUE"""),"https://x.com/USAmbtoAlgeria")</f>
        <v>https://x.com/USAmbtoAlgeria</v>
      </c>
    </row>
    <row r="967">
      <c r="A967" s="59" t="str">
        <f>IFERROR(__xludf.DUMMYFUNCTION("""COMPUTED_VALUE"""),"NEA")</f>
        <v>NEA</v>
      </c>
      <c r="B967" s="59" t="str">
        <f>IFERROR(__xludf.DUMMYFUNCTION("""COMPUTED_VALUE"""),"Algeria")</f>
        <v>Algeria</v>
      </c>
      <c r="C967" s="59" t="str">
        <f>IFERROR(__xludf.DUMMYFUNCTION("""COMPUTED_VALUE"""),"U.S. Embassy Algiers")</f>
        <v>U.S. Embassy Algiers</v>
      </c>
      <c r="D967" s="59" t="str">
        <f>IFERROR(__xludf.DUMMYFUNCTION("""COMPUTED_VALUE"""),"Facebook")</f>
        <v>Facebook</v>
      </c>
      <c r="E967" s="60" t="str">
        <f>IFERROR(__xludf.DUMMYFUNCTION("""COMPUTED_VALUE"""),"https://www.facebook.com/USEmbassyAlgiers/")</f>
        <v>https://www.facebook.com/USEmbassyAlgiers/</v>
      </c>
    </row>
    <row r="968">
      <c r="A968" s="59" t="str">
        <f>IFERROR(__xludf.DUMMYFUNCTION("""COMPUTED_VALUE"""),"NEA")</f>
        <v>NEA</v>
      </c>
      <c r="B968" s="59" t="str">
        <f>IFERROR(__xludf.DUMMYFUNCTION("""COMPUTED_VALUE"""),"Algeria")</f>
        <v>Algeria</v>
      </c>
      <c r="C968" s="59" t="str">
        <f>IFERROR(__xludf.DUMMYFUNCTION("""COMPUTED_VALUE"""),"U.S. Embassy Algiers")</f>
        <v>U.S. Embassy Algiers</v>
      </c>
      <c r="D968" s="59" t="str">
        <f>IFERROR(__xludf.DUMMYFUNCTION("""COMPUTED_VALUE"""),"Instagram")</f>
        <v>Instagram</v>
      </c>
      <c r="E968" s="60" t="str">
        <f>IFERROR(__xludf.DUMMYFUNCTION("""COMPUTED_VALUE"""),"https://www.instagram.com/usembassyalgiers")</f>
        <v>https://www.instagram.com/usembassyalgiers</v>
      </c>
    </row>
    <row r="969">
      <c r="A969" s="59" t="str">
        <f>IFERROR(__xludf.DUMMYFUNCTION("""COMPUTED_VALUE"""),"NEA")</f>
        <v>NEA</v>
      </c>
      <c r="B969" s="59" t="str">
        <f>IFERROR(__xludf.DUMMYFUNCTION("""COMPUTED_VALUE"""),"Algeria")</f>
        <v>Algeria</v>
      </c>
      <c r="C969" s="59" t="str">
        <f>IFERROR(__xludf.DUMMYFUNCTION("""COMPUTED_VALUE"""),"U.S. Embassy Algiers")</f>
        <v>U.S. Embassy Algiers</v>
      </c>
      <c r="D969" s="59" t="str">
        <f>IFERROR(__xludf.DUMMYFUNCTION("""COMPUTED_VALUE"""),"X")</f>
        <v>X</v>
      </c>
      <c r="E969" s="60" t="str">
        <f>IFERROR(__xludf.DUMMYFUNCTION("""COMPUTED_VALUE"""),"https://x.com/USEmbAlgiers")</f>
        <v>https://x.com/USEmbAlgiers</v>
      </c>
    </row>
    <row r="970">
      <c r="A970" s="59" t="str">
        <f>IFERROR(__xludf.DUMMYFUNCTION("""COMPUTED_VALUE"""),"NEA")</f>
        <v>NEA</v>
      </c>
      <c r="B970" s="59" t="str">
        <f>IFERROR(__xludf.DUMMYFUNCTION("""COMPUTED_VALUE"""),"Algeria")</f>
        <v>Algeria</v>
      </c>
      <c r="C970" s="59" t="str">
        <f>IFERROR(__xludf.DUMMYFUNCTION("""COMPUTED_VALUE"""),"U.S. Embassy Algiers")</f>
        <v>U.S. Embassy Algiers</v>
      </c>
      <c r="D970" s="59" t="str">
        <f>IFERROR(__xludf.DUMMYFUNCTION("""COMPUTED_VALUE"""),"YouTube")</f>
        <v>YouTube</v>
      </c>
      <c r="E970" s="60" t="str">
        <f>IFERROR(__xludf.DUMMYFUNCTION("""COMPUTED_VALUE"""),"https://youtube.com/user/USEmbassyAlgiers")</f>
        <v>https://youtube.com/user/USEmbassyAlgiers</v>
      </c>
    </row>
    <row r="971">
      <c r="A971" s="59" t="str">
        <f>IFERROR(__xludf.DUMMYFUNCTION("""COMPUTED_VALUE"""),"NEA")</f>
        <v>NEA</v>
      </c>
      <c r="B971" s="59" t="str">
        <f>IFERROR(__xludf.DUMMYFUNCTION("""COMPUTED_VALUE"""),"Bahrain")</f>
        <v>Bahrain</v>
      </c>
      <c r="C971" s="59" t="str">
        <f>IFERROR(__xludf.DUMMYFUNCTION("""COMPUTED_VALUE"""),"U.S. Embassy Manama")</f>
        <v>U.S. Embassy Manama</v>
      </c>
      <c r="D971" s="59" t="str">
        <f>IFERROR(__xludf.DUMMYFUNCTION("""COMPUTED_VALUE"""),"Facebook")</f>
        <v>Facebook</v>
      </c>
      <c r="E971" s="60" t="str">
        <f>IFERROR(__xludf.DUMMYFUNCTION("""COMPUTED_VALUE"""),"https://www.facebook.com/AmericanEmbassyManama/")</f>
        <v>https://www.facebook.com/AmericanEmbassyManama/</v>
      </c>
    </row>
    <row r="972">
      <c r="A972" s="59" t="str">
        <f>IFERROR(__xludf.DUMMYFUNCTION("""COMPUTED_VALUE"""),"NEA")</f>
        <v>NEA</v>
      </c>
      <c r="B972" s="59" t="str">
        <f>IFERROR(__xludf.DUMMYFUNCTION("""COMPUTED_VALUE"""),"Bahrain")</f>
        <v>Bahrain</v>
      </c>
      <c r="C972" s="59" t="str">
        <f>IFERROR(__xludf.DUMMYFUNCTION("""COMPUTED_VALUE"""),"U.S. Embassy Manama")</f>
        <v>U.S. Embassy Manama</v>
      </c>
      <c r="D972" s="59" t="str">
        <f>IFERROR(__xludf.DUMMYFUNCTION("""COMPUTED_VALUE"""),"Instagram")</f>
        <v>Instagram</v>
      </c>
      <c r="E972" s="60" t="str">
        <f>IFERROR(__xludf.DUMMYFUNCTION("""COMPUTED_VALUE"""),"https://www.instagram.com/usembassybahrain")</f>
        <v>https://www.instagram.com/usembassybahrain</v>
      </c>
    </row>
    <row r="973">
      <c r="A973" s="59" t="str">
        <f>IFERROR(__xludf.DUMMYFUNCTION("""COMPUTED_VALUE"""),"NEA")</f>
        <v>NEA</v>
      </c>
      <c r="B973" s="59" t="str">
        <f>IFERROR(__xludf.DUMMYFUNCTION("""COMPUTED_VALUE"""),"Bahrain")</f>
        <v>Bahrain</v>
      </c>
      <c r="C973" s="59" t="str">
        <f>IFERROR(__xludf.DUMMYFUNCTION("""COMPUTED_VALUE"""),"U.S. Embassy Manama")</f>
        <v>U.S. Embassy Manama</v>
      </c>
      <c r="D973" s="59" t="str">
        <f>IFERROR(__xludf.DUMMYFUNCTION("""COMPUTED_VALUE"""),"X")</f>
        <v>X</v>
      </c>
      <c r="E973" s="60" t="str">
        <f>IFERROR(__xludf.DUMMYFUNCTION("""COMPUTED_VALUE"""),"https://x.com/USEmbassyManama")</f>
        <v>https://x.com/USEmbassyManama</v>
      </c>
    </row>
    <row r="974">
      <c r="A974" s="59" t="str">
        <f>IFERROR(__xludf.DUMMYFUNCTION("""COMPUTED_VALUE"""),"NEA")</f>
        <v>NEA</v>
      </c>
      <c r="B974" s="59" t="str">
        <f>IFERROR(__xludf.DUMMYFUNCTION("""COMPUTED_VALUE"""),"Bahrain")</f>
        <v>Bahrain</v>
      </c>
      <c r="C974" s="59" t="str">
        <f>IFERROR(__xludf.DUMMYFUNCTION("""COMPUTED_VALUE"""),"U.S. Embassy Manama")</f>
        <v>U.S. Embassy Manama</v>
      </c>
      <c r="D974" s="59" t="str">
        <f>IFERROR(__xludf.DUMMYFUNCTION("""COMPUTED_VALUE"""),"YouTube")</f>
        <v>YouTube</v>
      </c>
      <c r="E974" s="60" t="str">
        <f>IFERROR(__xludf.DUMMYFUNCTION("""COMPUTED_VALUE"""),"https://youtube.com/user/USEmbassyManama")</f>
        <v>https://youtube.com/user/USEmbassyManama</v>
      </c>
    </row>
    <row r="975">
      <c r="A975" s="59" t="str">
        <f>IFERROR(__xludf.DUMMYFUNCTION("""COMPUTED_VALUE"""),"NEA")</f>
        <v>NEA</v>
      </c>
      <c r="B975" s="59" t="str">
        <f>IFERROR(__xludf.DUMMYFUNCTION("""COMPUTED_VALUE"""),"Egypt")</f>
        <v>Egypt</v>
      </c>
      <c r="C975" s="59" t="str">
        <f>IFERROR(__xludf.DUMMYFUNCTION("""COMPUTED_VALUE"""),"U.S. Embassy Cairo")</f>
        <v>U.S. Embassy Cairo</v>
      </c>
      <c r="D975" s="59" t="str">
        <f>IFERROR(__xludf.DUMMYFUNCTION("""COMPUTED_VALUE"""),"Facebook")</f>
        <v>Facebook</v>
      </c>
      <c r="E975" s="60" t="str">
        <f>IFERROR(__xludf.DUMMYFUNCTION("""COMPUTED_VALUE"""),"https://www.facebook.com/USEmbassyCairo/")</f>
        <v>https://www.facebook.com/USEmbassyCairo/</v>
      </c>
    </row>
    <row r="976">
      <c r="A976" s="59" t="str">
        <f>IFERROR(__xludf.DUMMYFUNCTION("""COMPUTED_VALUE"""),"NEA")</f>
        <v>NEA</v>
      </c>
      <c r="B976" s="59" t="str">
        <f>IFERROR(__xludf.DUMMYFUNCTION("""COMPUTED_VALUE"""),"Egypt")</f>
        <v>Egypt</v>
      </c>
      <c r="C976" s="59" t="str">
        <f>IFERROR(__xludf.DUMMYFUNCTION("""COMPUTED_VALUE"""),"U.S. Embassy Cairo")</f>
        <v>U.S. Embassy Cairo</v>
      </c>
      <c r="D976" s="59" t="str">
        <f>IFERROR(__xludf.DUMMYFUNCTION("""COMPUTED_VALUE"""),"Flickr")</f>
        <v>Flickr</v>
      </c>
      <c r="E976" s="60" t="str">
        <f>IFERROR(__xludf.DUMMYFUNCTION("""COMPUTED_VALUE"""),"https://www.flickr.com/photos/usembassycairo/")</f>
        <v>https://www.flickr.com/photos/usembassycairo/</v>
      </c>
    </row>
    <row r="977">
      <c r="A977" s="59" t="str">
        <f>IFERROR(__xludf.DUMMYFUNCTION("""COMPUTED_VALUE"""),"NEA")</f>
        <v>NEA</v>
      </c>
      <c r="B977" s="59" t="str">
        <f>IFERROR(__xludf.DUMMYFUNCTION("""COMPUTED_VALUE"""),"Egypt")</f>
        <v>Egypt</v>
      </c>
      <c r="C977" s="59" t="str">
        <f>IFERROR(__xludf.DUMMYFUNCTION("""COMPUTED_VALUE"""),"U.S. Embassy Cairo")</f>
        <v>U.S. Embassy Cairo</v>
      </c>
      <c r="D977" s="59" t="str">
        <f>IFERROR(__xludf.DUMMYFUNCTION("""COMPUTED_VALUE"""),"Instagram")</f>
        <v>Instagram</v>
      </c>
      <c r="E977" s="60" t="str">
        <f>IFERROR(__xludf.DUMMYFUNCTION("""COMPUTED_VALUE"""),"https://www.instagram.com/usembassycairo")</f>
        <v>https://www.instagram.com/usembassycairo</v>
      </c>
    </row>
    <row r="978">
      <c r="A978" s="59" t="str">
        <f>IFERROR(__xludf.DUMMYFUNCTION("""COMPUTED_VALUE"""),"NEA")</f>
        <v>NEA</v>
      </c>
      <c r="B978" s="59" t="str">
        <f>IFERROR(__xludf.DUMMYFUNCTION("""COMPUTED_VALUE"""),"Egypt")</f>
        <v>Egypt</v>
      </c>
      <c r="C978" s="59" t="str">
        <f>IFERROR(__xludf.DUMMYFUNCTION("""COMPUTED_VALUE"""),"U.S. Embassy Cairo")</f>
        <v>U.S. Embassy Cairo</v>
      </c>
      <c r="D978" s="59" t="str">
        <f>IFERROR(__xludf.DUMMYFUNCTION("""COMPUTED_VALUE"""),"X")</f>
        <v>X</v>
      </c>
      <c r="E978" s="60" t="str">
        <f>IFERROR(__xludf.DUMMYFUNCTION("""COMPUTED_VALUE"""),"https://x.com/USEmbassyCairo")</f>
        <v>https://x.com/USEmbassyCairo</v>
      </c>
    </row>
    <row r="979">
      <c r="A979" s="59" t="str">
        <f>IFERROR(__xludf.DUMMYFUNCTION("""COMPUTED_VALUE"""),"NEA")</f>
        <v>NEA</v>
      </c>
      <c r="B979" s="59" t="str">
        <f>IFERROR(__xludf.DUMMYFUNCTION("""COMPUTED_VALUE"""),"Egypt")</f>
        <v>Egypt</v>
      </c>
      <c r="C979" s="59" t="str">
        <f>IFERROR(__xludf.DUMMYFUNCTION("""COMPUTED_VALUE"""),"U.S. Embassy Cairo")</f>
        <v>U.S. Embassy Cairo</v>
      </c>
      <c r="D979" s="59" t="str">
        <f>IFERROR(__xludf.DUMMYFUNCTION("""COMPUTED_VALUE"""),"YouTube")</f>
        <v>YouTube</v>
      </c>
      <c r="E979" s="60" t="str">
        <f>IFERROR(__xludf.DUMMYFUNCTION("""COMPUTED_VALUE"""),"https://www.youtube.com/@USEmbassyCairoEG")</f>
        <v>https://www.youtube.com/@USEmbassyCairoEG</v>
      </c>
    </row>
    <row r="980">
      <c r="A980" s="59" t="str">
        <f>IFERROR(__xludf.DUMMYFUNCTION("""COMPUTED_VALUE"""),"NEA")</f>
        <v>NEA</v>
      </c>
      <c r="B980" s="59" t="str">
        <f>IFERROR(__xludf.DUMMYFUNCTION("""COMPUTED_VALUE"""),"Iraq")</f>
        <v>Iraq</v>
      </c>
      <c r="C980" s="59" t="str">
        <f>IFERROR(__xludf.DUMMYFUNCTION("""COMPUTED_VALUE"""),"U.S. Ambassador to Iraq")</f>
        <v>U.S. Ambassador to Iraq</v>
      </c>
      <c r="D980" s="59" t="str">
        <f>IFERROR(__xludf.DUMMYFUNCTION("""COMPUTED_VALUE"""),"X")</f>
        <v>X</v>
      </c>
      <c r="E980" s="60" t="str">
        <f>IFERROR(__xludf.DUMMYFUNCTION("""COMPUTED_VALUE"""),"https://x.com/USAmbIraq")</f>
        <v>https://x.com/USAmbIraq</v>
      </c>
    </row>
    <row r="981">
      <c r="A981" s="59" t="str">
        <f>IFERROR(__xludf.DUMMYFUNCTION("""COMPUTED_VALUE"""),"NEA")</f>
        <v>NEA</v>
      </c>
      <c r="B981" s="59" t="str">
        <f>IFERROR(__xludf.DUMMYFUNCTION("""COMPUTED_VALUE"""),"Iraq")</f>
        <v>Iraq</v>
      </c>
      <c r="C981" s="59" t="str">
        <f>IFERROR(__xludf.DUMMYFUNCTION("""COMPUTED_VALUE"""),"U.S. Consulate General Erbil")</f>
        <v>U.S. Consulate General Erbil</v>
      </c>
      <c r="D981" s="59" t="str">
        <f>IFERROR(__xludf.DUMMYFUNCTION("""COMPUTED_VALUE"""),"Instagram")</f>
        <v>Instagram</v>
      </c>
      <c r="E981" s="60" t="str">
        <f>IFERROR(__xludf.DUMMYFUNCTION("""COMPUTED_VALUE"""),"https://www.instagram.com/uscgerbil/")</f>
        <v>https://www.instagram.com/uscgerbil/</v>
      </c>
    </row>
    <row r="982">
      <c r="A982" s="59" t="str">
        <f>IFERROR(__xludf.DUMMYFUNCTION("""COMPUTED_VALUE"""),"NEA")</f>
        <v>NEA</v>
      </c>
      <c r="B982" s="59" t="str">
        <f>IFERROR(__xludf.DUMMYFUNCTION("""COMPUTED_VALUE"""),"Iraq")</f>
        <v>Iraq</v>
      </c>
      <c r="C982" s="59" t="str">
        <f>IFERROR(__xludf.DUMMYFUNCTION("""COMPUTED_VALUE"""),"U.S. Consulate General Erbil")</f>
        <v>U.S. Consulate General Erbil</v>
      </c>
      <c r="D982" s="59" t="str">
        <f>IFERROR(__xludf.DUMMYFUNCTION("""COMPUTED_VALUE"""),"Facebook")</f>
        <v>Facebook</v>
      </c>
      <c r="E982" s="60" t="str">
        <f>IFERROR(__xludf.DUMMYFUNCTION("""COMPUTED_VALUE"""),"https://www.facebook.com/USCGErbil/")</f>
        <v>https://www.facebook.com/USCGErbil/</v>
      </c>
    </row>
    <row r="983">
      <c r="A983" s="59" t="str">
        <f>IFERROR(__xludf.DUMMYFUNCTION("""COMPUTED_VALUE"""),"NEA")</f>
        <v>NEA</v>
      </c>
      <c r="B983" s="59" t="str">
        <f>IFERROR(__xludf.DUMMYFUNCTION("""COMPUTED_VALUE"""),"Iraq")</f>
        <v>Iraq</v>
      </c>
      <c r="C983" s="59" t="str">
        <f>IFERROR(__xludf.DUMMYFUNCTION("""COMPUTED_VALUE"""),"U.S. Consulate General Erbil")</f>
        <v>U.S. Consulate General Erbil</v>
      </c>
      <c r="D983" s="59" t="str">
        <f>IFERROR(__xludf.DUMMYFUNCTION("""COMPUTED_VALUE"""),"X")</f>
        <v>X</v>
      </c>
      <c r="E983" s="60" t="str">
        <f>IFERROR(__xludf.DUMMYFUNCTION("""COMPUTED_VALUE"""),"https://x.com/USCGERBIL")</f>
        <v>https://x.com/USCGERBIL</v>
      </c>
    </row>
    <row r="984">
      <c r="A984" s="59" t="str">
        <f>IFERROR(__xludf.DUMMYFUNCTION("""COMPUTED_VALUE"""),"NEA")</f>
        <v>NEA</v>
      </c>
      <c r="B984" s="59" t="str">
        <f>IFERROR(__xludf.DUMMYFUNCTION("""COMPUTED_VALUE"""),"Iraq")</f>
        <v>Iraq</v>
      </c>
      <c r="C984" s="59" t="str">
        <f>IFERROR(__xludf.DUMMYFUNCTION("""COMPUTED_VALUE"""),"U.S. Consulate General Erbil")</f>
        <v>U.S. Consulate General Erbil</v>
      </c>
      <c r="D984" s="59" t="str">
        <f>IFERROR(__xludf.DUMMYFUNCTION("""COMPUTED_VALUE"""),"YouTube")</f>
        <v>YouTube</v>
      </c>
      <c r="E984" s="60" t="str">
        <f>IFERROR(__xludf.DUMMYFUNCTION("""COMPUTED_VALUE"""),"https://www.youtube.com/@USCGERBIL")</f>
        <v>https://www.youtube.com/@USCGERBIL</v>
      </c>
    </row>
    <row r="985">
      <c r="A985" s="59" t="str">
        <f>IFERROR(__xludf.DUMMYFUNCTION("""COMPUTED_VALUE"""),"NEA")</f>
        <v>NEA</v>
      </c>
      <c r="B985" s="59" t="str">
        <f>IFERROR(__xludf.DUMMYFUNCTION("""COMPUTED_VALUE"""),"Iraq")</f>
        <v>Iraq</v>
      </c>
      <c r="C985" s="59" t="str">
        <f>IFERROR(__xludf.DUMMYFUNCTION("""COMPUTED_VALUE"""),"U.S. Embassy Baghdad")</f>
        <v>U.S. Embassy Baghdad</v>
      </c>
      <c r="D985" s="59" t="str">
        <f>IFERROR(__xludf.DUMMYFUNCTION("""COMPUTED_VALUE"""),"Facebook")</f>
        <v>Facebook</v>
      </c>
      <c r="E985" s="60" t="str">
        <f>IFERROR(__xludf.DUMMYFUNCTION("""COMPUTED_VALUE"""),"https://www.facebook.com/USEmbassyBaghdad/")</f>
        <v>https://www.facebook.com/USEmbassyBaghdad/</v>
      </c>
    </row>
    <row r="986">
      <c r="A986" s="59" t="str">
        <f>IFERROR(__xludf.DUMMYFUNCTION("""COMPUTED_VALUE"""),"NEA")</f>
        <v>NEA</v>
      </c>
      <c r="B986" s="59" t="str">
        <f>IFERROR(__xludf.DUMMYFUNCTION("""COMPUTED_VALUE"""),"Iraq")</f>
        <v>Iraq</v>
      </c>
      <c r="C986" s="59" t="str">
        <f>IFERROR(__xludf.DUMMYFUNCTION("""COMPUTED_VALUE"""),"U.S. Embassy Baghdad")</f>
        <v>U.S. Embassy Baghdad</v>
      </c>
      <c r="D986" s="59" t="str">
        <f>IFERROR(__xludf.DUMMYFUNCTION("""COMPUTED_VALUE"""),"Instagram")</f>
        <v>Instagram</v>
      </c>
      <c r="E986" s="60" t="str">
        <f>IFERROR(__xludf.DUMMYFUNCTION("""COMPUTED_VALUE"""),"https://www.instagram.com/usembassybaghdad/")</f>
        <v>https://www.instagram.com/usembassybaghdad/</v>
      </c>
    </row>
    <row r="987">
      <c r="A987" s="59" t="str">
        <f>IFERROR(__xludf.DUMMYFUNCTION("""COMPUTED_VALUE"""),"NEA")</f>
        <v>NEA</v>
      </c>
      <c r="B987" s="59" t="str">
        <f>IFERROR(__xludf.DUMMYFUNCTION("""COMPUTED_VALUE"""),"Iraq")</f>
        <v>Iraq</v>
      </c>
      <c r="C987" s="59" t="str">
        <f>IFERROR(__xludf.DUMMYFUNCTION("""COMPUTED_VALUE"""),"U.S. Embassy Baghdad")</f>
        <v>U.S. Embassy Baghdad</v>
      </c>
      <c r="D987" s="59" t="str">
        <f>IFERROR(__xludf.DUMMYFUNCTION("""COMPUTED_VALUE"""),"X")</f>
        <v>X</v>
      </c>
      <c r="E987" s="60" t="str">
        <f>IFERROR(__xludf.DUMMYFUNCTION("""COMPUTED_VALUE"""),"https://x.com/USEmbBaghdad")</f>
        <v>https://x.com/USEmbBaghdad</v>
      </c>
    </row>
    <row r="988">
      <c r="A988" s="59" t="str">
        <f>IFERROR(__xludf.DUMMYFUNCTION("""COMPUTED_VALUE"""),"NEA")</f>
        <v>NEA</v>
      </c>
      <c r="B988" s="59" t="str">
        <f>IFERROR(__xludf.DUMMYFUNCTION("""COMPUTED_VALUE"""),"Iraq")</f>
        <v>Iraq</v>
      </c>
      <c r="C988" s="59" t="str">
        <f>IFERROR(__xludf.DUMMYFUNCTION("""COMPUTED_VALUE"""),"U.S. Embassy Baghdad")</f>
        <v>U.S. Embassy Baghdad</v>
      </c>
      <c r="D988" s="59" t="str">
        <f>IFERROR(__xludf.DUMMYFUNCTION("""COMPUTED_VALUE"""),"YouTube")</f>
        <v>YouTube</v>
      </c>
      <c r="E988" s="60" t="str">
        <f>IFERROR(__xludf.DUMMYFUNCTION("""COMPUTED_VALUE"""),"youtube.com/user/usembassybaghdad")</f>
        <v>youtube.com/user/usembassybaghdad</v>
      </c>
    </row>
    <row r="989">
      <c r="A989" s="59" t="str">
        <f>IFERROR(__xludf.DUMMYFUNCTION("""COMPUTED_VALUE"""),"NEA")</f>
        <v>NEA</v>
      </c>
      <c r="B989" s="59" t="str">
        <f>IFERROR(__xludf.DUMMYFUNCTION("""COMPUTED_VALUE"""),"Israel")</f>
        <v>Israel</v>
      </c>
      <c r="C989" s="59" t="str">
        <f>IFERROR(__xludf.DUMMYFUNCTION("""COMPUTED_VALUE"""),"U.S. Ambassador to Israel")</f>
        <v>U.S. Ambassador to Israel</v>
      </c>
      <c r="D989" s="59" t="str">
        <f>IFERROR(__xludf.DUMMYFUNCTION("""COMPUTED_VALUE"""),"X")</f>
        <v>X</v>
      </c>
      <c r="E989" s="60" t="str">
        <f>IFERROR(__xludf.DUMMYFUNCTION("""COMPUTED_VALUE"""),"https://x.com/USAmbIsrael")</f>
        <v>https://x.com/USAmbIsrael</v>
      </c>
    </row>
    <row r="990">
      <c r="A990" s="59" t="str">
        <f>IFERROR(__xludf.DUMMYFUNCTION("""COMPUTED_VALUE"""),"NEA")</f>
        <v>NEA</v>
      </c>
      <c r="B990" s="59" t="str">
        <f>IFERROR(__xludf.DUMMYFUNCTION("""COMPUTED_VALUE"""),"Israel")</f>
        <v>Israel</v>
      </c>
      <c r="C990" s="59" t="str">
        <f>IFERROR(__xludf.DUMMYFUNCTION("""COMPUTED_VALUE"""),"U.S. Embassy Jerusalem")</f>
        <v>U.S. Embassy Jerusalem</v>
      </c>
      <c r="D990" s="59" t="str">
        <f>IFERROR(__xludf.DUMMYFUNCTION("""COMPUTED_VALUE"""),"Facebook")</f>
        <v>Facebook</v>
      </c>
      <c r="E990" s="60" t="str">
        <f>IFERROR(__xludf.DUMMYFUNCTION("""COMPUTED_VALUE"""),"https://www.facebook.com/USEmbassyJlm/")</f>
        <v>https://www.facebook.com/USEmbassyJlm/</v>
      </c>
    </row>
    <row r="991">
      <c r="A991" s="59" t="str">
        <f>IFERROR(__xludf.DUMMYFUNCTION("""COMPUTED_VALUE"""),"NEA")</f>
        <v>NEA</v>
      </c>
      <c r="B991" s="59" t="str">
        <f>IFERROR(__xludf.DUMMYFUNCTION("""COMPUTED_VALUE"""),"Israel")</f>
        <v>Israel</v>
      </c>
      <c r="C991" s="59" t="str">
        <f>IFERROR(__xludf.DUMMYFUNCTION("""COMPUTED_VALUE"""),"U.S. Embassy Jerusalem")</f>
        <v>U.S. Embassy Jerusalem</v>
      </c>
      <c r="D991" s="59" t="str">
        <f>IFERROR(__xludf.DUMMYFUNCTION("""COMPUTED_VALUE"""),"Flickr")</f>
        <v>Flickr</v>
      </c>
      <c r="E991" s="60" t="str">
        <f>IFERROR(__xludf.DUMMYFUNCTION("""COMPUTED_VALUE"""),"https://www.flickr.com/photos/usembassyta")</f>
        <v>https://www.flickr.com/photos/usembassyta</v>
      </c>
    </row>
    <row r="992">
      <c r="A992" s="59" t="str">
        <f>IFERROR(__xludf.DUMMYFUNCTION("""COMPUTED_VALUE"""),"NEA")</f>
        <v>NEA</v>
      </c>
      <c r="B992" s="59" t="str">
        <f>IFERROR(__xludf.DUMMYFUNCTION("""COMPUTED_VALUE"""),"Israel")</f>
        <v>Israel</v>
      </c>
      <c r="C992" s="59" t="str">
        <f>IFERROR(__xludf.DUMMYFUNCTION("""COMPUTED_VALUE"""),"U.S. Embassy Jerusalem")</f>
        <v>U.S. Embassy Jerusalem</v>
      </c>
      <c r="D992" s="59" t="str">
        <f>IFERROR(__xludf.DUMMYFUNCTION("""COMPUTED_VALUE"""),"Instagram")</f>
        <v>Instagram</v>
      </c>
      <c r="E992" s="60" t="str">
        <f>IFERROR(__xludf.DUMMYFUNCTION("""COMPUTED_VALUE"""),"https://www.instagram.com/usembassyjlm/")</f>
        <v>https://www.instagram.com/usembassyjlm/</v>
      </c>
    </row>
    <row r="993">
      <c r="A993" s="59" t="str">
        <f>IFERROR(__xludf.DUMMYFUNCTION("""COMPUTED_VALUE"""),"NEA")</f>
        <v>NEA</v>
      </c>
      <c r="B993" s="59" t="str">
        <f>IFERROR(__xludf.DUMMYFUNCTION("""COMPUTED_VALUE"""),"Israel")</f>
        <v>Israel</v>
      </c>
      <c r="C993" s="59" t="str">
        <f>IFERROR(__xludf.DUMMYFUNCTION("""COMPUTED_VALUE"""),"U.S. Embassy Jerusalem")</f>
        <v>U.S. Embassy Jerusalem</v>
      </c>
      <c r="D993" s="59" t="str">
        <f>IFERROR(__xludf.DUMMYFUNCTION("""COMPUTED_VALUE"""),"LinkedIn")</f>
        <v>LinkedIn</v>
      </c>
      <c r="E993" s="60" t="str">
        <f>IFERROR(__xludf.DUMMYFUNCTION("""COMPUTED_VALUE"""),"https://www.linkedin.com/company/usembassyjlm/")</f>
        <v>https://www.linkedin.com/company/usembassyjlm/</v>
      </c>
    </row>
    <row r="994">
      <c r="A994" s="59" t="str">
        <f>IFERROR(__xludf.DUMMYFUNCTION("""COMPUTED_VALUE"""),"NEA")</f>
        <v>NEA</v>
      </c>
      <c r="B994" s="59" t="str">
        <f>IFERROR(__xludf.DUMMYFUNCTION("""COMPUTED_VALUE"""),"Israel")</f>
        <v>Israel</v>
      </c>
      <c r="C994" s="59" t="str">
        <f>IFERROR(__xludf.DUMMYFUNCTION("""COMPUTED_VALUE"""),"U.S. Embassy Jerusalem")</f>
        <v>U.S. Embassy Jerusalem</v>
      </c>
      <c r="D994" s="59" t="str">
        <f>IFERROR(__xludf.DUMMYFUNCTION("""COMPUTED_VALUE"""),"Telegram")</f>
        <v>Telegram</v>
      </c>
      <c r="E994" s="60" t="str">
        <f>IFERROR(__xludf.DUMMYFUNCTION("""COMPUTED_VALUE"""),"https://t.me/usembassyjerusalem")</f>
        <v>https://t.me/usembassyjerusalem</v>
      </c>
    </row>
    <row r="995">
      <c r="A995" s="59" t="str">
        <f>IFERROR(__xludf.DUMMYFUNCTION("""COMPUTED_VALUE"""),"NEA")</f>
        <v>NEA</v>
      </c>
      <c r="B995" s="59" t="str">
        <f>IFERROR(__xludf.DUMMYFUNCTION("""COMPUTED_VALUE"""),"Israel")</f>
        <v>Israel</v>
      </c>
      <c r="C995" s="59" t="str">
        <f>IFERROR(__xludf.DUMMYFUNCTION("""COMPUTED_VALUE"""),"U.S. Embassy Jerusalem")</f>
        <v>U.S. Embassy Jerusalem</v>
      </c>
      <c r="D995" s="59" t="str">
        <f>IFERROR(__xludf.DUMMYFUNCTION("""COMPUTED_VALUE"""),"X")</f>
        <v>X</v>
      </c>
      <c r="E995" s="60" t="str">
        <f>IFERROR(__xludf.DUMMYFUNCTION("""COMPUTED_VALUE"""),"https://x.com/usembassyjlm")</f>
        <v>https://x.com/usembassyjlm</v>
      </c>
    </row>
    <row r="996">
      <c r="A996" s="59" t="str">
        <f>IFERROR(__xludf.DUMMYFUNCTION("""COMPUTED_VALUE"""),"NEA")</f>
        <v>NEA</v>
      </c>
      <c r="B996" s="59" t="str">
        <f>IFERROR(__xludf.DUMMYFUNCTION("""COMPUTED_VALUE"""),"Israel")</f>
        <v>Israel</v>
      </c>
      <c r="C996" s="59" t="str">
        <f>IFERROR(__xludf.DUMMYFUNCTION("""COMPUTED_VALUE"""),"U.S. Embassy Jerusalem")</f>
        <v>U.S. Embassy Jerusalem</v>
      </c>
      <c r="D996" s="59" t="str">
        <f>IFERROR(__xludf.DUMMYFUNCTION("""COMPUTED_VALUE"""),"YouTube")</f>
        <v>YouTube</v>
      </c>
      <c r="E996" s="60" t="str">
        <f>IFERROR(__xludf.DUMMYFUNCTION("""COMPUTED_VALUE"""),"https://youtube.com/user/USEmbassyTelAviv")</f>
        <v>https://youtube.com/user/USEmbassyTelAviv</v>
      </c>
    </row>
    <row r="997">
      <c r="A997" s="59" t="str">
        <f>IFERROR(__xludf.DUMMYFUNCTION("""COMPUTED_VALUE"""),"NEA")</f>
        <v>NEA</v>
      </c>
      <c r="B997" s="59" t="str">
        <f>IFERROR(__xludf.DUMMYFUNCTION("""COMPUTED_VALUE"""),"Israel")</f>
        <v>Israel</v>
      </c>
      <c r="C997" s="59" t="str">
        <f>IFERROR(__xludf.DUMMYFUNCTION("""COMPUTED_VALUE"""),"U.S. Office of Palestinian Affairs")</f>
        <v>U.S. Office of Palestinian Affairs</v>
      </c>
      <c r="D997" s="59" t="str">
        <f>IFERROR(__xludf.DUMMYFUNCTION("""COMPUTED_VALUE"""),"Facebook")</f>
        <v>Facebook</v>
      </c>
      <c r="E997" s="60" t="str">
        <f>IFERROR(__xludf.DUMMYFUNCTION("""COMPUTED_VALUE"""),"https://www.facebook.com/USPalestinianAffairs/")</f>
        <v>https://www.facebook.com/USPalestinianAffairs/</v>
      </c>
    </row>
    <row r="998">
      <c r="A998" s="59" t="str">
        <f>IFERROR(__xludf.DUMMYFUNCTION("""COMPUTED_VALUE"""),"NEA")</f>
        <v>NEA</v>
      </c>
      <c r="B998" s="59" t="str">
        <f>IFERROR(__xludf.DUMMYFUNCTION("""COMPUTED_VALUE"""),"Israel")</f>
        <v>Israel</v>
      </c>
      <c r="C998" s="59" t="str">
        <f>IFERROR(__xludf.DUMMYFUNCTION("""COMPUTED_VALUE"""),"U.S. Office of Palestinian Affairs")</f>
        <v>U.S. Office of Palestinian Affairs</v>
      </c>
      <c r="D998" s="59" t="str">
        <f>IFERROR(__xludf.DUMMYFUNCTION("""COMPUTED_VALUE"""),"Instagram")</f>
        <v>Instagram</v>
      </c>
      <c r="E998" s="60" t="str">
        <f>IFERROR(__xludf.DUMMYFUNCTION("""COMPUTED_VALUE"""),"https://www.instagram.com/uspalestinianaffairs/")</f>
        <v>https://www.instagram.com/uspalestinianaffairs/</v>
      </c>
    </row>
    <row r="999">
      <c r="A999" s="59" t="str">
        <f>IFERROR(__xludf.DUMMYFUNCTION("""COMPUTED_VALUE"""),"NEA")</f>
        <v>NEA</v>
      </c>
      <c r="B999" s="59" t="str">
        <f>IFERROR(__xludf.DUMMYFUNCTION("""COMPUTED_VALUE"""),"Israel")</f>
        <v>Israel</v>
      </c>
      <c r="C999" s="59" t="str">
        <f>IFERROR(__xludf.DUMMYFUNCTION("""COMPUTED_VALUE"""),"U.S. Office of Palestinian Affairs")</f>
        <v>U.S. Office of Palestinian Affairs</v>
      </c>
      <c r="D999" s="59" t="str">
        <f>IFERROR(__xludf.DUMMYFUNCTION("""COMPUTED_VALUE"""),"X")</f>
        <v>X</v>
      </c>
      <c r="E999" s="60" t="str">
        <f>IFERROR(__xludf.DUMMYFUNCTION("""COMPUTED_VALUE"""),"https://x.com/USPalAffairs")</f>
        <v>https://x.com/USPalAffairs</v>
      </c>
    </row>
    <row r="1000">
      <c r="A1000" s="59" t="str">
        <f>IFERROR(__xludf.DUMMYFUNCTION("""COMPUTED_VALUE"""),"NEA")</f>
        <v>NEA</v>
      </c>
      <c r="B1000" s="59" t="str">
        <f>IFERROR(__xludf.DUMMYFUNCTION("""COMPUTED_VALUE"""),"Israel")</f>
        <v>Israel</v>
      </c>
      <c r="C1000" s="59" t="str">
        <f>IFERROR(__xludf.DUMMYFUNCTION("""COMPUTED_VALUE"""),"U.S. Office of Palestinian Affairs")</f>
        <v>U.S. Office of Palestinian Affairs</v>
      </c>
      <c r="D1000" s="59" t="str">
        <f>IFERROR(__xludf.DUMMYFUNCTION("""COMPUTED_VALUE"""),"YouTube")</f>
        <v>YouTube</v>
      </c>
      <c r="E1000" s="60" t="str">
        <f>IFERROR(__xludf.DUMMYFUNCTION("""COMPUTED_VALUE"""),"https://youtube.com/user/UsConGenJerusalem")</f>
        <v>https://youtube.com/user/UsConGenJerusalem</v>
      </c>
    </row>
    <row r="1001">
      <c r="A1001" s="59" t="str">
        <f>IFERROR(__xludf.DUMMYFUNCTION("""COMPUTED_VALUE"""),"NEA")</f>
        <v>NEA</v>
      </c>
      <c r="B1001" s="59" t="str">
        <f>IFERROR(__xludf.DUMMYFUNCTION("""COMPUTED_VALUE"""),"Jordan")</f>
        <v>Jordan</v>
      </c>
      <c r="C1001" s="59" t="str">
        <f>IFERROR(__xludf.DUMMYFUNCTION("""COMPUTED_VALUE"""),"U.S. Embassy Amman")</f>
        <v>U.S. Embassy Amman</v>
      </c>
      <c r="D1001" s="59" t="str">
        <f>IFERROR(__xludf.DUMMYFUNCTION("""COMPUTED_VALUE"""),"Facebook")</f>
        <v>Facebook</v>
      </c>
      <c r="E1001" s="60" t="str">
        <f>IFERROR(__xludf.DUMMYFUNCTION("""COMPUTED_VALUE"""),"https://www.facebook.com/jordan.usembassy/")</f>
        <v>https://www.facebook.com/jordan.usembassy/</v>
      </c>
    </row>
    <row r="1002">
      <c r="A1002" s="59" t="str">
        <f>IFERROR(__xludf.DUMMYFUNCTION("""COMPUTED_VALUE"""),"NEA")</f>
        <v>NEA</v>
      </c>
      <c r="B1002" s="59" t="str">
        <f>IFERROR(__xludf.DUMMYFUNCTION("""COMPUTED_VALUE"""),"Jordan")</f>
        <v>Jordan</v>
      </c>
      <c r="C1002" s="59" t="str">
        <f>IFERROR(__xludf.DUMMYFUNCTION("""COMPUTED_VALUE"""),"U.S. Embassy Amman")</f>
        <v>U.S. Embassy Amman</v>
      </c>
      <c r="D1002" s="59" t="str">
        <f>IFERROR(__xludf.DUMMYFUNCTION("""COMPUTED_VALUE"""),"Instagram")</f>
        <v>Instagram</v>
      </c>
      <c r="E1002" s="60" t="str">
        <f>IFERROR(__xludf.DUMMYFUNCTION("""COMPUTED_VALUE"""),"https://www.instagram.com/usembassyjordan")</f>
        <v>https://www.instagram.com/usembassyjordan</v>
      </c>
    </row>
    <row r="1003">
      <c r="A1003" s="59" t="str">
        <f>IFERROR(__xludf.DUMMYFUNCTION("""COMPUTED_VALUE"""),"NEA")</f>
        <v>NEA</v>
      </c>
      <c r="B1003" s="59" t="str">
        <f>IFERROR(__xludf.DUMMYFUNCTION("""COMPUTED_VALUE"""),"Jordan")</f>
        <v>Jordan</v>
      </c>
      <c r="C1003" s="59" t="str">
        <f>IFERROR(__xludf.DUMMYFUNCTION("""COMPUTED_VALUE"""),"U.S. Embassy Amman")</f>
        <v>U.S. Embassy Amman</v>
      </c>
      <c r="D1003" s="59" t="str">
        <f>IFERROR(__xludf.DUMMYFUNCTION("""COMPUTED_VALUE"""),"LinkedIn")</f>
        <v>LinkedIn</v>
      </c>
      <c r="E1003" s="60" t="str">
        <f>IFERROR(__xludf.DUMMYFUNCTION("""COMPUTED_VALUE"""),"https://www.linkedin.com/company/u-s-embassy-amman-jordan/")</f>
        <v>https://www.linkedin.com/company/u-s-embassy-amman-jordan/</v>
      </c>
    </row>
    <row r="1004">
      <c r="A1004" s="59" t="str">
        <f>IFERROR(__xludf.DUMMYFUNCTION("""COMPUTED_VALUE"""),"NEA")</f>
        <v>NEA</v>
      </c>
      <c r="B1004" s="59" t="str">
        <f>IFERROR(__xludf.DUMMYFUNCTION("""COMPUTED_VALUE"""),"Jordan")</f>
        <v>Jordan</v>
      </c>
      <c r="C1004" s="59" t="str">
        <f>IFERROR(__xludf.DUMMYFUNCTION("""COMPUTED_VALUE"""),"U.S. Embassy Amman")</f>
        <v>U.S. Embassy Amman</v>
      </c>
      <c r="D1004" s="59" t="str">
        <f>IFERROR(__xludf.DUMMYFUNCTION("""COMPUTED_VALUE"""),"X")</f>
        <v>X</v>
      </c>
      <c r="E1004" s="60" t="str">
        <f>IFERROR(__xludf.DUMMYFUNCTION("""COMPUTED_VALUE"""),"https://x.com/USEmbassyJordan")</f>
        <v>https://x.com/USEmbassyJordan</v>
      </c>
    </row>
    <row r="1005">
      <c r="A1005" s="59" t="str">
        <f>IFERROR(__xludf.DUMMYFUNCTION("""COMPUTED_VALUE"""),"NEA")</f>
        <v>NEA</v>
      </c>
      <c r="B1005" s="59" t="str">
        <f>IFERROR(__xludf.DUMMYFUNCTION("""COMPUTED_VALUE"""),"Jordan")</f>
        <v>Jordan</v>
      </c>
      <c r="C1005" s="59" t="str">
        <f>IFERROR(__xludf.DUMMYFUNCTION("""COMPUTED_VALUE"""),"U.S. Embassy Amman")</f>
        <v>U.S. Embassy Amman</v>
      </c>
      <c r="D1005" s="59" t="str">
        <f>IFERROR(__xludf.DUMMYFUNCTION("""COMPUTED_VALUE"""),"YouTube")</f>
        <v>YouTube</v>
      </c>
      <c r="E1005" s="60" t="str">
        <f>IFERROR(__xludf.DUMMYFUNCTION("""COMPUTED_VALUE"""),"https://youtube.com/user/usembassyamman")</f>
        <v>https://youtube.com/user/usembassyamman</v>
      </c>
    </row>
    <row r="1006">
      <c r="A1006" s="59" t="str">
        <f>IFERROR(__xludf.DUMMYFUNCTION("""COMPUTED_VALUE"""),"NEA")</f>
        <v>NEA</v>
      </c>
      <c r="B1006" s="59" t="str">
        <f>IFERROR(__xludf.DUMMYFUNCTION("""COMPUTED_VALUE"""),"Kuwait")</f>
        <v>Kuwait</v>
      </c>
      <c r="C1006" s="59" t="str">
        <f>IFERROR(__xludf.DUMMYFUNCTION("""COMPUTED_VALUE"""),"U.S. Ambassador to Kuwait")</f>
        <v>U.S. Ambassador to Kuwait</v>
      </c>
      <c r="D1006" s="59" t="str">
        <f>IFERROR(__xludf.DUMMYFUNCTION("""COMPUTED_VALUE"""),"X")</f>
        <v>X</v>
      </c>
      <c r="E1006" s="60" t="str">
        <f>IFERROR(__xludf.DUMMYFUNCTION("""COMPUTED_VALUE"""),"https://x.com/USAmbKuwait")</f>
        <v>https://x.com/USAmbKuwait</v>
      </c>
    </row>
    <row r="1007">
      <c r="A1007" s="59" t="str">
        <f>IFERROR(__xludf.DUMMYFUNCTION("""COMPUTED_VALUE"""),"NEA")</f>
        <v>NEA</v>
      </c>
      <c r="B1007" s="59" t="str">
        <f>IFERROR(__xludf.DUMMYFUNCTION("""COMPUTED_VALUE"""),"Kuwait")</f>
        <v>Kuwait</v>
      </c>
      <c r="C1007" s="59" t="str">
        <f>IFERROR(__xludf.DUMMYFUNCTION("""COMPUTED_VALUE"""),"U.S. Embassy Kuwait City")</f>
        <v>U.S. Embassy Kuwait City</v>
      </c>
      <c r="D1007" s="59" t="str">
        <f>IFERROR(__xludf.DUMMYFUNCTION("""COMPUTED_VALUE"""),"Facebook")</f>
        <v>Facebook</v>
      </c>
      <c r="E1007" s="60" t="str">
        <f>IFERROR(__xludf.DUMMYFUNCTION("""COMPUTED_VALUE"""),"https://www.facebook.com/USEmbassyQ8/")</f>
        <v>https://www.facebook.com/USEmbassyQ8/</v>
      </c>
    </row>
    <row r="1008">
      <c r="A1008" s="59" t="str">
        <f>IFERROR(__xludf.DUMMYFUNCTION("""COMPUTED_VALUE"""),"NEA")</f>
        <v>NEA</v>
      </c>
      <c r="B1008" s="59" t="str">
        <f>IFERROR(__xludf.DUMMYFUNCTION("""COMPUTED_VALUE"""),"Kuwait")</f>
        <v>Kuwait</v>
      </c>
      <c r="C1008" s="59" t="str">
        <f>IFERROR(__xludf.DUMMYFUNCTION("""COMPUTED_VALUE"""),"U.S. Embassy Kuwait City")</f>
        <v>U.S. Embassy Kuwait City</v>
      </c>
      <c r="D1008" s="59" t="str">
        <f>IFERROR(__xludf.DUMMYFUNCTION("""COMPUTED_VALUE"""),"Flickr")</f>
        <v>Flickr</v>
      </c>
      <c r="E1008" s="60" t="str">
        <f>IFERROR(__xludf.DUMMYFUNCTION("""COMPUTED_VALUE"""),"https://www.flickr.com/photos/americanembassykuwait")</f>
        <v>https://www.flickr.com/photos/americanembassykuwait</v>
      </c>
    </row>
    <row r="1009">
      <c r="A1009" s="59" t="str">
        <f>IFERROR(__xludf.DUMMYFUNCTION("""COMPUTED_VALUE"""),"NEA")</f>
        <v>NEA</v>
      </c>
      <c r="B1009" s="59" t="str">
        <f>IFERROR(__xludf.DUMMYFUNCTION("""COMPUTED_VALUE"""),"Kuwait")</f>
        <v>Kuwait</v>
      </c>
      <c r="C1009" s="59" t="str">
        <f>IFERROR(__xludf.DUMMYFUNCTION("""COMPUTED_VALUE"""),"U.S. Embassy Kuwait City")</f>
        <v>U.S. Embassy Kuwait City</v>
      </c>
      <c r="D1009" s="59" t="str">
        <f>IFERROR(__xludf.DUMMYFUNCTION("""COMPUTED_VALUE"""),"Instagram")</f>
        <v>Instagram</v>
      </c>
      <c r="E1009" s="60" t="str">
        <f>IFERROR(__xludf.DUMMYFUNCTION("""COMPUTED_VALUE"""),"https://www.instagram.com/usembassyq8")</f>
        <v>https://www.instagram.com/usembassyq8</v>
      </c>
    </row>
    <row r="1010">
      <c r="A1010" s="59" t="str">
        <f>IFERROR(__xludf.DUMMYFUNCTION("""COMPUTED_VALUE"""),"NEA")</f>
        <v>NEA</v>
      </c>
      <c r="B1010" s="59" t="str">
        <f>IFERROR(__xludf.DUMMYFUNCTION("""COMPUTED_VALUE"""),"Kuwait")</f>
        <v>Kuwait</v>
      </c>
      <c r="C1010" s="59" t="str">
        <f>IFERROR(__xludf.DUMMYFUNCTION("""COMPUTED_VALUE"""),"U.S. Embassy Kuwait City")</f>
        <v>U.S. Embassy Kuwait City</v>
      </c>
      <c r="D1010" s="59" t="str">
        <f>IFERROR(__xludf.DUMMYFUNCTION("""COMPUTED_VALUE"""),"X")</f>
        <v>X</v>
      </c>
      <c r="E1010" s="60" t="str">
        <f>IFERROR(__xludf.DUMMYFUNCTION("""COMPUTED_VALUE"""),"https://x.com/USEmbassyQ8")</f>
        <v>https://x.com/USEmbassyQ8</v>
      </c>
    </row>
    <row r="1011">
      <c r="A1011" s="59" t="str">
        <f>IFERROR(__xludf.DUMMYFUNCTION("""COMPUTED_VALUE"""),"NEA")</f>
        <v>NEA</v>
      </c>
      <c r="B1011" s="59" t="str">
        <f>IFERROR(__xludf.DUMMYFUNCTION("""COMPUTED_VALUE"""),"Kuwait")</f>
        <v>Kuwait</v>
      </c>
      <c r="C1011" s="59" t="str">
        <f>IFERROR(__xludf.DUMMYFUNCTION("""COMPUTED_VALUE"""),"U.S. Embassy Kuwait City")</f>
        <v>U.S. Embassy Kuwait City</v>
      </c>
      <c r="D1011" s="59" t="str">
        <f>IFERROR(__xludf.DUMMYFUNCTION("""COMPUTED_VALUE"""),"YouTube")</f>
        <v>YouTube</v>
      </c>
      <c r="E1011" s="60" t="str">
        <f>IFERROR(__xludf.DUMMYFUNCTION("""COMPUTED_VALUE"""),"https://youtube.com/user/usembassyq8")</f>
        <v>https://youtube.com/user/usembassyq8</v>
      </c>
    </row>
    <row r="1012">
      <c r="A1012" s="59" t="str">
        <f>IFERROR(__xludf.DUMMYFUNCTION("""COMPUTED_VALUE"""),"NEA")</f>
        <v>NEA</v>
      </c>
      <c r="B1012" s="59" t="str">
        <f>IFERROR(__xludf.DUMMYFUNCTION("""COMPUTED_VALUE"""),"Kuwait")</f>
        <v>Kuwait</v>
      </c>
      <c r="C1012" s="59" t="str">
        <f>IFERROR(__xludf.DUMMYFUNCTION("""COMPUTED_VALUE"""),"U.S. Embassy Kuwait City")</f>
        <v>U.S. Embassy Kuwait City</v>
      </c>
      <c r="D1012" s="59" t="str">
        <f>IFERROR(__xludf.DUMMYFUNCTION("""COMPUTED_VALUE"""),"Threads")</f>
        <v>Threads</v>
      </c>
      <c r="E1012" s="60" t="str">
        <f>IFERROR(__xludf.DUMMYFUNCTION("""COMPUTED_VALUE"""),"https://www.threads.net/@usembassyq8")</f>
        <v>https://www.threads.net/@usembassyq8</v>
      </c>
    </row>
    <row r="1013">
      <c r="A1013" s="59" t="str">
        <f>IFERROR(__xludf.DUMMYFUNCTION("""COMPUTED_VALUE"""),"NEA")</f>
        <v>NEA</v>
      </c>
      <c r="B1013" s="59" t="str">
        <f>IFERROR(__xludf.DUMMYFUNCTION("""COMPUTED_VALUE"""),"Lebanon")</f>
        <v>Lebanon</v>
      </c>
      <c r="C1013" s="59" t="str">
        <f>IFERROR(__xludf.DUMMYFUNCTION("""COMPUTED_VALUE"""),"U.S. Embassy Beirut")</f>
        <v>U.S. Embassy Beirut</v>
      </c>
      <c r="D1013" s="59" t="str">
        <f>IFERROR(__xludf.DUMMYFUNCTION("""COMPUTED_VALUE"""),"Facebook")</f>
        <v>Facebook</v>
      </c>
      <c r="E1013" s="60" t="str">
        <f>IFERROR(__xludf.DUMMYFUNCTION("""COMPUTED_VALUE"""),"https://www.facebook.com/USEmbassyBeirut/")</f>
        <v>https://www.facebook.com/USEmbassyBeirut/</v>
      </c>
    </row>
    <row r="1014">
      <c r="A1014" s="59" t="str">
        <f>IFERROR(__xludf.DUMMYFUNCTION("""COMPUTED_VALUE"""),"NEA")</f>
        <v>NEA</v>
      </c>
      <c r="B1014" s="59" t="str">
        <f>IFERROR(__xludf.DUMMYFUNCTION("""COMPUTED_VALUE"""),"Lebanon")</f>
        <v>Lebanon</v>
      </c>
      <c r="C1014" s="59" t="str">
        <f>IFERROR(__xludf.DUMMYFUNCTION("""COMPUTED_VALUE"""),"U.S. Embassy Beirut")</f>
        <v>U.S. Embassy Beirut</v>
      </c>
      <c r="D1014" s="59" t="str">
        <f>IFERROR(__xludf.DUMMYFUNCTION("""COMPUTED_VALUE"""),"Instagram")</f>
        <v>Instagram</v>
      </c>
      <c r="E1014" s="60" t="str">
        <f>IFERROR(__xludf.DUMMYFUNCTION("""COMPUTED_VALUE"""),"https://www.instagram.com/usembassybeirut")</f>
        <v>https://www.instagram.com/usembassybeirut</v>
      </c>
    </row>
    <row r="1015">
      <c r="A1015" s="59" t="str">
        <f>IFERROR(__xludf.DUMMYFUNCTION("""COMPUTED_VALUE"""),"NEA")</f>
        <v>NEA</v>
      </c>
      <c r="B1015" s="59" t="str">
        <f>IFERROR(__xludf.DUMMYFUNCTION("""COMPUTED_VALUE"""),"Lebanon")</f>
        <v>Lebanon</v>
      </c>
      <c r="C1015" s="59" t="str">
        <f>IFERROR(__xludf.DUMMYFUNCTION("""COMPUTED_VALUE"""),"U.S. Embassy Beirut")</f>
        <v>U.S. Embassy Beirut</v>
      </c>
      <c r="D1015" s="59" t="str">
        <f>IFERROR(__xludf.DUMMYFUNCTION("""COMPUTED_VALUE"""),"X")</f>
        <v>X</v>
      </c>
      <c r="E1015" s="60" t="str">
        <f>IFERROR(__xludf.DUMMYFUNCTION("""COMPUTED_VALUE"""),"https://x.com/usembassybeirut")</f>
        <v>https://x.com/usembassybeirut</v>
      </c>
    </row>
    <row r="1016">
      <c r="A1016" s="59" t="str">
        <f>IFERROR(__xludf.DUMMYFUNCTION("""COMPUTED_VALUE"""),"NEA")</f>
        <v>NEA</v>
      </c>
      <c r="B1016" s="59" t="str">
        <f>IFERROR(__xludf.DUMMYFUNCTION("""COMPUTED_VALUE"""),"Lebanon")</f>
        <v>Lebanon</v>
      </c>
      <c r="C1016" s="59" t="str">
        <f>IFERROR(__xludf.DUMMYFUNCTION("""COMPUTED_VALUE"""),"U.S. Embassy Beirut")</f>
        <v>U.S. Embassy Beirut</v>
      </c>
      <c r="D1016" s="59" t="str">
        <f>IFERROR(__xludf.DUMMYFUNCTION("""COMPUTED_VALUE"""),"YouTube")</f>
        <v>YouTube</v>
      </c>
      <c r="E1016" s="60" t="str">
        <f>IFERROR(__xludf.DUMMYFUNCTION("""COMPUTED_VALUE"""),"https://www.youtube.com/@usinbeirut")</f>
        <v>https://www.youtube.com/@usinbeirut</v>
      </c>
    </row>
    <row r="1017">
      <c r="A1017" s="59" t="str">
        <f>IFERROR(__xludf.DUMMYFUNCTION("""COMPUTED_VALUE"""),"NEA")</f>
        <v>NEA</v>
      </c>
      <c r="B1017" s="59" t="str">
        <f>IFERROR(__xludf.DUMMYFUNCTION("""COMPUTED_VALUE"""),"Lebanon")</f>
        <v>Lebanon</v>
      </c>
      <c r="C1017" s="59" t="str">
        <f>IFERROR(__xludf.DUMMYFUNCTION("""COMPUTED_VALUE"""),"U.S. Embassy Beirut")</f>
        <v>U.S. Embassy Beirut</v>
      </c>
      <c r="D1017" s="59" t="str">
        <f>IFERROR(__xludf.DUMMYFUNCTION("""COMPUTED_VALUE"""),"WhatsApp")</f>
        <v>WhatsApp</v>
      </c>
      <c r="E1017" s="60" t="str">
        <f>IFERROR(__xludf.DUMMYFUNCTION("""COMPUTED_VALUE"""),"https://whatsapp.com/channel/0029VaUiCFg6hENiACjfs51q")</f>
        <v>https://whatsapp.com/channel/0029VaUiCFg6hENiACjfs51q</v>
      </c>
    </row>
    <row r="1018">
      <c r="A1018" s="59" t="str">
        <f>IFERROR(__xludf.DUMMYFUNCTION("""COMPUTED_VALUE"""),"NEA")</f>
        <v>NEA</v>
      </c>
      <c r="B1018" s="59" t="str">
        <f>IFERROR(__xludf.DUMMYFUNCTION("""COMPUTED_VALUE"""),"Libya")</f>
        <v>Libya</v>
      </c>
      <c r="C1018" s="59" t="str">
        <f>IFERROR(__xludf.DUMMYFUNCTION("""COMPUTED_VALUE"""),"U.S. Embassy Tripoli")</f>
        <v>U.S. Embassy Tripoli</v>
      </c>
      <c r="D1018" s="59" t="str">
        <f>IFERROR(__xludf.DUMMYFUNCTION("""COMPUTED_VALUE"""),"Facebook")</f>
        <v>Facebook</v>
      </c>
      <c r="E1018" s="60" t="str">
        <f>IFERROR(__xludf.DUMMYFUNCTION("""COMPUTED_VALUE"""),"https://www.facebook.com/USEmbassyLibya/")</f>
        <v>https://www.facebook.com/USEmbassyLibya/</v>
      </c>
    </row>
    <row r="1019">
      <c r="A1019" s="59" t="str">
        <f>IFERROR(__xludf.DUMMYFUNCTION("""COMPUTED_VALUE"""),"NEA")</f>
        <v>NEA</v>
      </c>
      <c r="B1019" s="59" t="str">
        <f>IFERROR(__xludf.DUMMYFUNCTION("""COMPUTED_VALUE"""),"Libya")</f>
        <v>Libya</v>
      </c>
      <c r="C1019" s="59" t="str">
        <f>IFERROR(__xludf.DUMMYFUNCTION("""COMPUTED_VALUE"""),"U.S. Embassy Tripoli")</f>
        <v>U.S. Embassy Tripoli</v>
      </c>
      <c r="D1019" s="59" t="str">
        <f>IFERROR(__xludf.DUMMYFUNCTION("""COMPUTED_VALUE"""),"Instagram")</f>
        <v>Instagram</v>
      </c>
      <c r="E1019" s="60" t="str">
        <f>IFERROR(__xludf.DUMMYFUNCTION("""COMPUTED_VALUE"""),"https://www.instagram.com/usembassylibya/")</f>
        <v>https://www.instagram.com/usembassylibya/</v>
      </c>
    </row>
    <row r="1020">
      <c r="A1020" s="59" t="str">
        <f>IFERROR(__xludf.DUMMYFUNCTION("""COMPUTED_VALUE"""),"NEA")</f>
        <v>NEA</v>
      </c>
      <c r="B1020" s="59" t="str">
        <f>IFERROR(__xludf.DUMMYFUNCTION("""COMPUTED_VALUE"""),"Libya")</f>
        <v>Libya</v>
      </c>
      <c r="C1020" s="59" t="str">
        <f>IFERROR(__xludf.DUMMYFUNCTION("""COMPUTED_VALUE"""),"U.S. Embassy Tripoli")</f>
        <v>U.S. Embassy Tripoli</v>
      </c>
      <c r="D1020" s="59" t="str">
        <f>IFERROR(__xludf.DUMMYFUNCTION("""COMPUTED_VALUE"""),"X")</f>
        <v>X</v>
      </c>
      <c r="E1020" s="60" t="str">
        <f>IFERROR(__xludf.DUMMYFUNCTION("""COMPUTED_VALUE"""),"https://x.com/USEmbassyLibya")</f>
        <v>https://x.com/USEmbassyLibya</v>
      </c>
    </row>
    <row r="1021">
      <c r="A1021" s="59" t="str">
        <f>IFERROR(__xludf.DUMMYFUNCTION("""COMPUTED_VALUE"""),"NEA")</f>
        <v>NEA</v>
      </c>
      <c r="B1021" s="59" t="str">
        <f>IFERROR(__xludf.DUMMYFUNCTION("""COMPUTED_VALUE"""),"Libya")</f>
        <v>Libya</v>
      </c>
      <c r="C1021" s="59" t="str">
        <f>IFERROR(__xludf.DUMMYFUNCTION("""COMPUTED_VALUE"""),"U.S. Embassy Tripoli")</f>
        <v>U.S. Embassy Tripoli</v>
      </c>
      <c r="D1021" s="59" t="str">
        <f>IFERROR(__xludf.DUMMYFUNCTION("""COMPUTED_VALUE"""),"YouTube")</f>
        <v>YouTube</v>
      </c>
      <c r="E1021" s="60" t="str">
        <f>IFERROR(__xludf.DUMMYFUNCTION("""COMPUTED_VALUE"""),"https://youtube.com/user/USEmbassyTripoli")</f>
        <v>https://youtube.com/user/USEmbassyTripoli</v>
      </c>
    </row>
    <row r="1022">
      <c r="A1022" s="59" t="str">
        <f>IFERROR(__xludf.DUMMYFUNCTION("""COMPUTED_VALUE"""),"NEA")</f>
        <v>NEA</v>
      </c>
      <c r="B1022" s="59" t="str">
        <f>IFERROR(__xludf.DUMMYFUNCTION("""COMPUTED_VALUE"""),"Morocco")</f>
        <v>Morocco</v>
      </c>
      <c r="C1022" s="59" t="str">
        <f>IFERROR(__xludf.DUMMYFUNCTION("""COMPUTED_VALUE"""),"Dar America Casablanca")</f>
        <v>Dar America Casablanca</v>
      </c>
      <c r="D1022" s="59" t="str">
        <f>IFERROR(__xludf.DUMMYFUNCTION("""COMPUTED_VALUE"""),"Facebook")</f>
        <v>Facebook</v>
      </c>
      <c r="E1022" s="60" t="str">
        <f>IFERROR(__xludf.DUMMYFUNCTION("""COMPUTED_VALUE"""),"https://www.facebook.com/DarAmericaCasablanca/")</f>
        <v>https://www.facebook.com/DarAmericaCasablanca/</v>
      </c>
    </row>
    <row r="1023">
      <c r="A1023" s="59" t="str">
        <f>IFERROR(__xludf.DUMMYFUNCTION("""COMPUTED_VALUE"""),"NEA")</f>
        <v>NEA</v>
      </c>
      <c r="B1023" s="59" t="str">
        <f>IFERROR(__xludf.DUMMYFUNCTION("""COMPUTED_VALUE"""),"Morocco")</f>
        <v>Morocco</v>
      </c>
      <c r="C1023" s="59" t="str">
        <f>IFERROR(__xludf.DUMMYFUNCTION("""COMPUTED_VALUE"""),"Dar America Casablanca")</f>
        <v>Dar America Casablanca</v>
      </c>
      <c r="D1023" s="59" t="str">
        <f>IFERROR(__xludf.DUMMYFUNCTION("""COMPUTED_VALUE"""),"Instagram")</f>
        <v>Instagram</v>
      </c>
      <c r="E1023" s="60" t="str">
        <f>IFERROR(__xludf.DUMMYFUNCTION("""COMPUTED_VALUE"""),"https://www.instagram.com/daramericacasablanca/")</f>
        <v>https://www.instagram.com/daramericacasablanca/</v>
      </c>
    </row>
    <row r="1024">
      <c r="A1024" s="59" t="str">
        <f>IFERROR(__xludf.DUMMYFUNCTION("""COMPUTED_VALUE"""),"NEA")</f>
        <v>NEA</v>
      </c>
      <c r="B1024" s="59" t="str">
        <f>IFERROR(__xludf.DUMMYFUNCTION("""COMPUTED_VALUE"""),"Morocco")</f>
        <v>Morocco</v>
      </c>
      <c r="C1024" s="59" t="str">
        <f>IFERROR(__xludf.DUMMYFUNCTION("""COMPUTED_VALUE"""),"U.S. Ambassador to Morocco")</f>
        <v>U.S. Ambassador to Morocco</v>
      </c>
      <c r="D1024" s="59" t="str">
        <f>IFERROR(__xludf.DUMMYFUNCTION("""COMPUTED_VALUE"""),"X")</f>
        <v>X</v>
      </c>
      <c r="E1024" s="60" t="str">
        <f>IFERROR(__xludf.DUMMYFUNCTION("""COMPUTED_VALUE"""),"https://x.com/USAmbMorocco")</f>
        <v>https://x.com/USAmbMorocco</v>
      </c>
    </row>
    <row r="1025">
      <c r="A1025" s="59" t="str">
        <f>IFERROR(__xludf.DUMMYFUNCTION("""COMPUTED_VALUE"""),"NEA")</f>
        <v>NEA</v>
      </c>
      <c r="B1025" s="59" t="str">
        <f>IFERROR(__xludf.DUMMYFUNCTION("""COMPUTED_VALUE"""),"Morocco")</f>
        <v>Morocco</v>
      </c>
      <c r="C1025" s="59" t="str">
        <f>IFERROR(__xludf.DUMMYFUNCTION("""COMPUTED_VALUE"""),"U.S. Embassy Rabat")</f>
        <v>U.S. Embassy Rabat</v>
      </c>
      <c r="D1025" s="59" t="str">
        <f>IFERROR(__xludf.DUMMYFUNCTION("""COMPUTED_VALUE"""),"Facebook")</f>
        <v>Facebook</v>
      </c>
      <c r="E1025" s="60" t="str">
        <f>IFERROR(__xludf.DUMMYFUNCTION("""COMPUTED_VALUE"""),"https://www.facebook.com/USEmbassyMorocco/")</f>
        <v>https://www.facebook.com/USEmbassyMorocco/</v>
      </c>
    </row>
    <row r="1026">
      <c r="A1026" s="59" t="str">
        <f>IFERROR(__xludf.DUMMYFUNCTION("""COMPUTED_VALUE"""),"NEA")</f>
        <v>NEA</v>
      </c>
      <c r="B1026" s="59" t="str">
        <f>IFERROR(__xludf.DUMMYFUNCTION("""COMPUTED_VALUE"""),"Morocco")</f>
        <v>Morocco</v>
      </c>
      <c r="C1026" s="59" t="str">
        <f>IFERROR(__xludf.DUMMYFUNCTION("""COMPUTED_VALUE"""),"U.S. Embassy Rabat")</f>
        <v>U.S. Embassy Rabat</v>
      </c>
      <c r="D1026" s="59" t="str">
        <f>IFERROR(__xludf.DUMMYFUNCTION("""COMPUTED_VALUE"""),"Flickr")</f>
        <v>Flickr</v>
      </c>
      <c r="E1026" s="60" t="str">
        <f>IFERROR(__xludf.DUMMYFUNCTION("""COMPUTED_VALUE"""),"https://www.flickr.com/photos/usembassyrabat")</f>
        <v>https://www.flickr.com/photos/usembassyrabat</v>
      </c>
    </row>
    <row r="1027">
      <c r="A1027" s="59" t="str">
        <f>IFERROR(__xludf.DUMMYFUNCTION("""COMPUTED_VALUE"""),"NEA")</f>
        <v>NEA</v>
      </c>
      <c r="B1027" s="59" t="str">
        <f>IFERROR(__xludf.DUMMYFUNCTION("""COMPUTED_VALUE"""),"Morocco")</f>
        <v>Morocco</v>
      </c>
      <c r="C1027" s="59" t="str">
        <f>IFERROR(__xludf.DUMMYFUNCTION("""COMPUTED_VALUE"""),"U.S. Embassy Rabat")</f>
        <v>U.S. Embassy Rabat</v>
      </c>
      <c r="D1027" s="59" t="str">
        <f>IFERROR(__xludf.DUMMYFUNCTION("""COMPUTED_VALUE"""),"Instagram")</f>
        <v>Instagram</v>
      </c>
      <c r="E1027" s="60" t="str">
        <f>IFERROR(__xludf.DUMMYFUNCTION("""COMPUTED_VALUE"""),"https://www.instagram.com/usembassymorocco")</f>
        <v>https://www.instagram.com/usembassymorocco</v>
      </c>
    </row>
    <row r="1028">
      <c r="A1028" s="59" t="str">
        <f>IFERROR(__xludf.DUMMYFUNCTION("""COMPUTED_VALUE"""),"NEA")</f>
        <v>NEA</v>
      </c>
      <c r="B1028" s="59" t="str">
        <f>IFERROR(__xludf.DUMMYFUNCTION("""COMPUTED_VALUE"""),"Morocco")</f>
        <v>Morocco</v>
      </c>
      <c r="C1028" s="59" t="str">
        <f>IFERROR(__xludf.DUMMYFUNCTION("""COMPUTED_VALUE"""),"U.S. Embassy Rabat")</f>
        <v>U.S. Embassy Rabat</v>
      </c>
      <c r="D1028" s="59" t="str">
        <f>IFERROR(__xludf.DUMMYFUNCTION("""COMPUTED_VALUE"""),"LinkedIn")</f>
        <v>LinkedIn</v>
      </c>
      <c r="E1028" s="60" t="str">
        <f>IFERROR(__xludf.DUMMYFUNCTION("""COMPUTED_VALUE"""),"https://www.linkedin.com/company/u-s-mission-morocco/")</f>
        <v>https://www.linkedin.com/company/u-s-mission-morocco/</v>
      </c>
    </row>
    <row r="1029">
      <c r="A1029" s="59" t="str">
        <f>IFERROR(__xludf.DUMMYFUNCTION("""COMPUTED_VALUE"""),"NEA")</f>
        <v>NEA</v>
      </c>
      <c r="B1029" s="59" t="str">
        <f>IFERROR(__xludf.DUMMYFUNCTION("""COMPUTED_VALUE"""),"Morocco")</f>
        <v>Morocco</v>
      </c>
      <c r="C1029" s="59" t="str">
        <f>IFERROR(__xludf.DUMMYFUNCTION("""COMPUTED_VALUE"""),"U.S. Embassy Rabat")</f>
        <v>U.S. Embassy Rabat</v>
      </c>
      <c r="D1029" s="59" t="str">
        <f>IFERROR(__xludf.DUMMYFUNCTION("""COMPUTED_VALUE"""),"X")</f>
        <v>X</v>
      </c>
      <c r="E1029" s="60" t="str">
        <f>IFERROR(__xludf.DUMMYFUNCTION("""COMPUTED_VALUE"""),"https://x.com/USEmbMorocco")</f>
        <v>https://x.com/USEmbMorocco</v>
      </c>
    </row>
    <row r="1030">
      <c r="A1030" s="59" t="str">
        <f>IFERROR(__xludf.DUMMYFUNCTION("""COMPUTED_VALUE"""),"NEA")</f>
        <v>NEA</v>
      </c>
      <c r="B1030" s="59" t="str">
        <f>IFERROR(__xludf.DUMMYFUNCTION("""COMPUTED_VALUE"""),"Morocco")</f>
        <v>Morocco</v>
      </c>
      <c r="C1030" s="59" t="str">
        <f>IFERROR(__xludf.DUMMYFUNCTION("""COMPUTED_VALUE"""),"U.S. Embassy Rabat")</f>
        <v>U.S. Embassy Rabat</v>
      </c>
      <c r="D1030" s="59" t="str">
        <f>IFERROR(__xludf.DUMMYFUNCTION("""COMPUTED_VALUE"""),"YouTube")</f>
        <v>YouTube</v>
      </c>
      <c r="E1030" s="60" t="str">
        <f>IFERROR(__xludf.DUMMYFUNCTION("""COMPUTED_VALUE"""),"https://youtube.com/user/usembrabat")</f>
        <v>https://youtube.com/user/usembrabat</v>
      </c>
    </row>
    <row r="1031">
      <c r="A1031" s="59" t="str">
        <f>IFERROR(__xludf.DUMMYFUNCTION("""COMPUTED_VALUE"""),"NEA")</f>
        <v>NEA</v>
      </c>
      <c r="B1031" s="59" t="str">
        <f>IFERROR(__xludf.DUMMYFUNCTION("""COMPUTED_VALUE"""),"Oman")</f>
        <v>Oman</v>
      </c>
      <c r="C1031" s="59" t="str">
        <f>IFERROR(__xludf.DUMMYFUNCTION("""COMPUTED_VALUE"""),"U.S. Embassy Muscat")</f>
        <v>U.S. Embassy Muscat</v>
      </c>
      <c r="D1031" s="59" t="str">
        <f>IFERROR(__xludf.DUMMYFUNCTION("""COMPUTED_VALUE"""),"Facebook")</f>
        <v>Facebook</v>
      </c>
      <c r="E1031" s="60" t="str">
        <f>IFERROR(__xludf.DUMMYFUNCTION("""COMPUTED_VALUE"""),"https://www.facebook.com/USEmbassyMuscat/")</f>
        <v>https://www.facebook.com/USEmbassyMuscat/</v>
      </c>
    </row>
    <row r="1032">
      <c r="A1032" s="59" t="str">
        <f>IFERROR(__xludf.DUMMYFUNCTION("""COMPUTED_VALUE"""),"NEA")</f>
        <v>NEA</v>
      </c>
      <c r="B1032" s="59" t="str">
        <f>IFERROR(__xludf.DUMMYFUNCTION("""COMPUTED_VALUE"""),"Oman")</f>
        <v>Oman</v>
      </c>
      <c r="C1032" s="59" t="str">
        <f>IFERROR(__xludf.DUMMYFUNCTION("""COMPUTED_VALUE"""),"U.S. Embassy Muscat")</f>
        <v>U.S. Embassy Muscat</v>
      </c>
      <c r="D1032" s="59" t="str">
        <f>IFERROR(__xludf.DUMMYFUNCTION("""COMPUTED_VALUE"""),"Instagram")</f>
        <v>Instagram</v>
      </c>
      <c r="E1032" s="60" t="str">
        <f>IFERROR(__xludf.DUMMYFUNCTION("""COMPUTED_VALUE"""),"https://www.instagram.com/usembassymuscat")</f>
        <v>https://www.instagram.com/usembassymuscat</v>
      </c>
    </row>
    <row r="1033">
      <c r="A1033" s="59" t="str">
        <f>IFERROR(__xludf.DUMMYFUNCTION("""COMPUTED_VALUE"""),"NEA")</f>
        <v>NEA</v>
      </c>
      <c r="B1033" s="59" t="str">
        <f>IFERROR(__xludf.DUMMYFUNCTION("""COMPUTED_VALUE"""),"Oman")</f>
        <v>Oman</v>
      </c>
      <c r="C1033" s="59" t="str">
        <f>IFERROR(__xludf.DUMMYFUNCTION("""COMPUTED_VALUE"""),"U.S. Embassy Muscat")</f>
        <v>U.S. Embassy Muscat</v>
      </c>
      <c r="D1033" s="59" t="str">
        <f>IFERROR(__xludf.DUMMYFUNCTION("""COMPUTED_VALUE"""),"X")</f>
        <v>X</v>
      </c>
      <c r="E1033" s="60" t="str">
        <f>IFERROR(__xludf.DUMMYFUNCTION("""COMPUTED_VALUE"""),"https://x.com/USEmbMuscat")</f>
        <v>https://x.com/USEmbMuscat</v>
      </c>
    </row>
    <row r="1034">
      <c r="A1034" s="59" t="str">
        <f>IFERROR(__xludf.DUMMYFUNCTION("""COMPUTED_VALUE"""),"NEA")</f>
        <v>NEA</v>
      </c>
      <c r="B1034" s="59" t="str">
        <f>IFERROR(__xludf.DUMMYFUNCTION("""COMPUTED_VALUE"""),"Oman")</f>
        <v>Oman</v>
      </c>
      <c r="C1034" s="59" t="str">
        <f>IFERROR(__xludf.DUMMYFUNCTION("""COMPUTED_VALUE"""),"U.S. Embassy Muscat")</f>
        <v>U.S. Embassy Muscat</v>
      </c>
      <c r="D1034" s="59" t="str">
        <f>IFERROR(__xludf.DUMMYFUNCTION("""COMPUTED_VALUE"""),"YouTube")</f>
        <v>YouTube</v>
      </c>
      <c r="E1034" s="60" t="str">
        <f>IFERROR(__xludf.DUMMYFUNCTION("""COMPUTED_VALUE"""),"https://youtube.com/user/USEmbassyMuscat")</f>
        <v>https://youtube.com/user/USEmbassyMuscat</v>
      </c>
    </row>
    <row r="1035">
      <c r="A1035" s="59" t="str">
        <f>IFERROR(__xludf.DUMMYFUNCTION("""COMPUTED_VALUE"""),"NEA")</f>
        <v>NEA</v>
      </c>
      <c r="B1035" s="59" t="str">
        <f>IFERROR(__xludf.DUMMYFUNCTION("""COMPUTED_VALUE"""),"Qatar")</f>
        <v>Qatar</v>
      </c>
      <c r="C1035" s="59" t="str">
        <f>IFERROR(__xludf.DUMMYFUNCTION("""COMPUTED_VALUE"""),"U.S. Ambassador to Qatar")</f>
        <v>U.S. Ambassador to Qatar</v>
      </c>
      <c r="D1035" s="59" t="str">
        <f>IFERROR(__xludf.DUMMYFUNCTION("""COMPUTED_VALUE"""),"X")</f>
        <v>X</v>
      </c>
      <c r="E1035" s="60" t="str">
        <f>IFERROR(__xludf.DUMMYFUNCTION("""COMPUTED_VALUE"""),"https://x.com/USAmbQatar")</f>
        <v>https://x.com/USAmbQatar</v>
      </c>
    </row>
    <row r="1036">
      <c r="A1036" s="59" t="str">
        <f>IFERROR(__xludf.DUMMYFUNCTION("""COMPUTED_VALUE"""),"NEA")</f>
        <v>NEA</v>
      </c>
      <c r="B1036" s="59" t="str">
        <f>IFERROR(__xludf.DUMMYFUNCTION("""COMPUTED_VALUE"""),"Qatar")</f>
        <v>Qatar</v>
      </c>
      <c r="C1036" s="59" t="str">
        <f>IFERROR(__xludf.DUMMYFUNCTION("""COMPUTED_VALUE"""),"U.S. Embassy Doha")</f>
        <v>U.S. Embassy Doha</v>
      </c>
      <c r="D1036" s="59" t="str">
        <f>IFERROR(__xludf.DUMMYFUNCTION("""COMPUTED_VALUE"""),"Facebook")</f>
        <v>Facebook</v>
      </c>
      <c r="E1036" s="60" t="str">
        <f>IFERROR(__xludf.DUMMYFUNCTION("""COMPUTED_VALUE"""),"https://www.facebook.com/USEmbassyDoha/")</f>
        <v>https://www.facebook.com/USEmbassyDoha/</v>
      </c>
    </row>
    <row r="1037">
      <c r="A1037" s="59" t="str">
        <f>IFERROR(__xludf.DUMMYFUNCTION("""COMPUTED_VALUE"""),"NEA")</f>
        <v>NEA</v>
      </c>
      <c r="B1037" s="59" t="str">
        <f>IFERROR(__xludf.DUMMYFUNCTION("""COMPUTED_VALUE"""),"Qatar")</f>
        <v>Qatar</v>
      </c>
      <c r="C1037" s="59" t="str">
        <f>IFERROR(__xludf.DUMMYFUNCTION("""COMPUTED_VALUE"""),"U.S. Embassy Doha")</f>
        <v>U.S. Embassy Doha</v>
      </c>
      <c r="D1037" s="59" t="str">
        <f>IFERROR(__xludf.DUMMYFUNCTION("""COMPUTED_VALUE"""),"Instagram")</f>
        <v>Instagram</v>
      </c>
      <c r="E1037" s="60" t="str">
        <f>IFERROR(__xludf.DUMMYFUNCTION("""COMPUTED_VALUE"""),"https://www.instagram.com/usembassydoha ")</f>
        <v>https://www.instagram.com/usembassydoha </v>
      </c>
    </row>
    <row r="1038">
      <c r="A1038" s="59" t="str">
        <f>IFERROR(__xludf.DUMMYFUNCTION("""COMPUTED_VALUE"""),"NEA")</f>
        <v>NEA</v>
      </c>
      <c r="B1038" s="59" t="str">
        <f>IFERROR(__xludf.DUMMYFUNCTION("""COMPUTED_VALUE"""),"Qatar")</f>
        <v>Qatar</v>
      </c>
      <c r="C1038" s="59" t="str">
        <f>IFERROR(__xludf.DUMMYFUNCTION("""COMPUTED_VALUE"""),"U.S. Embassy Doha")</f>
        <v>U.S. Embassy Doha</v>
      </c>
      <c r="D1038" s="59" t="str">
        <f>IFERROR(__xludf.DUMMYFUNCTION("""COMPUTED_VALUE"""),"X")</f>
        <v>X</v>
      </c>
      <c r="E1038" s="60" t="str">
        <f>IFERROR(__xludf.DUMMYFUNCTION("""COMPUTED_VALUE"""),"https://x.com/USEmbassyDoha")</f>
        <v>https://x.com/USEmbassyDoha</v>
      </c>
    </row>
    <row r="1039">
      <c r="A1039" s="59" t="str">
        <f>IFERROR(__xludf.DUMMYFUNCTION("""COMPUTED_VALUE"""),"NEA")</f>
        <v>NEA</v>
      </c>
      <c r="B1039" s="59" t="str">
        <f>IFERROR(__xludf.DUMMYFUNCTION("""COMPUTED_VALUE"""),"Qatar")</f>
        <v>Qatar</v>
      </c>
      <c r="C1039" s="59" t="str">
        <f>IFERROR(__xludf.DUMMYFUNCTION("""COMPUTED_VALUE"""),"U.S. Embassy Doha")</f>
        <v>U.S. Embassy Doha</v>
      </c>
      <c r="D1039" s="59" t="str">
        <f>IFERROR(__xludf.DUMMYFUNCTION("""COMPUTED_VALUE"""),"YouTube")</f>
        <v>YouTube</v>
      </c>
      <c r="E1039" s="60" t="str">
        <f>IFERROR(__xludf.DUMMYFUNCTION("""COMPUTED_VALUE"""),"https://youtube.com/user/AmericanEmbassyDoha")</f>
        <v>https://youtube.com/user/AmericanEmbassyDoha</v>
      </c>
    </row>
    <row r="1040">
      <c r="A1040" s="59" t="str">
        <f>IFERROR(__xludf.DUMMYFUNCTION("""COMPUTED_VALUE"""),"NEA")</f>
        <v>NEA</v>
      </c>
      <c r="B1040" s="59" t="str">
        <f>IFERROR(__xludf.DUMMYFUNCTION("""COMPUTED_VALUE"""),"Saudi Arabia")</f>
        <v>Saudi Arabia</v>
      </c>
      <c r="C1040" s="59" t="str">
        <f>IFERROR(__xludf.DUMMYFUNCTION("""COMPUTED_VALUE"""),"American Citizen Services Saudi Arabia")</f>
        <v>American Citizen Services Saudi Arabia</v>
      </c>
      <c r="D1040" s="59" t="str">
        <f>IFERROR(__xludf.DUMMYFUNCTION("""COMPUTED_VALUE"""),"X")</f>
        <v>X</v>
      </c>
      <c r="E1040" s="60" t="str">
        <f>IFERROR(__xludf.DUMMYFUNCTION("""COMPUTED_VALUE"""),"https://x.com/ksa_acs")</f>
        <v>https://x.com/ksa_acs</v>
      </c>
    </row>
    <row r="1041">
      <c r="A1041" s="59" t="str">
        <f>IFERROR(__xludf.DUMMYFUNCTION("""COMPUTED_VALUE"""),"NEA")</f>
        <v>NEA</v>
      </c>
      <c r="B1041" s="59" t="str">
        <f>IFERROR(__xludf.DUMMYFUNCTION("""COMPUTED_VALUE"""),"Saudi Arabia")</f>
        <v>Saudi Arabia</v>
      </c>
      <c r="C1041" s="59" t="str">
        <f>IFERROR(__xludf.DUMMYFUNCTION("""COMPUTED_VALUE"""),"U.S. Consulate General Dhahran")</f>
        <v>U.S. Consulate General Dhahran</v>
      </c>
      <c r="D1041" s="59" t="str">
        <f>IFERROR(__xludf.DUMMYFUNCTION("""COMPUTED_VALUE"""),"Facebook")</f>
        <v>Facebook</v>
      </c>
      <c r="E1041" s="60" t="str">
        <f>IFERROR(__xludf.DUMMYFUNCTION("""COMPUTED_VALUE"""),"https://www.facebook.com/USConsulateGeneralDhahran")</f>
        <v>https://www.facebook.com/USConsulateGeneralDhahran</v>
      </c>
    </row>
    <row r="1042">
      <c r="A1042" s="59" t="str">
        <f>IFERROR(__xludf.DUMMYFUNCTION("""COMPUTED_VALUE"""),"NEA")</f>
        <v>NEA</v>
      </c>
      <c r="B1042" s="59" t="str">
        <f>IFERROR(__xludf.DUMMYFUNCTION("""COMPUTED_VALUE"""),"Saudi Arabia")</f>
        <v>Saudi Arabia</v>
      </c>
      <c r="C1042" s="59" t="str">
        <f>IFERROR(__xludf.DUMMYFUNCTION("""COMPUTED_VALUE"""),"U.S. Consulate General Dhahran")</f>
        <v>U.S. Consulate General Dhahran</v>
      </c>
      <c r="D1042" s="59" t="str">
        <f>IFERROR(__xludf.DUMMYFUNCTION("""COMPUTED_VALUE"""),"Instagram")</f>
        <v>Instagram</v>
      </c>
      <c r="E1042" s="60" t="str">
        <f>IFERROR(__xludf.DUMMYFUNCTION("""COMPUTED_VALUE"""),"https://www.instagram.com/usconsulatedhahran/")</f>
        <v>https://www.instagram.com/usconsulatedhahran/</v>
      </c>
    </row>
    <row r="1043">
      <c r="A1043" s="59" t="str">
        <f>IFERROR(__xludf.DUMMYFUNCTION("""COMPUTED_VALUE"""),"NEA")</f>
        <v>NEA</v>
      </c>
      <c r="B1043" s="59" t="str">
        <f>IFERROR(__xludf.DUMMYFUNCTION("""COMPUTED_VALUE"""),"Saudi Arabia")</f>
        <v>Saudi Arabia</v>
      </c>
      <c r="C1043" s="59" t="str">
        <f>IFERROR(__xludf.DUMMYFUNCTION("""COMPUTED_VALUE"""),"U.S. Consulate General Dhahran")</f>
        <v>U.S. Consulate General Dhahran</v>
      </c>
      <c r="D1043" s="59" t="str">
        <f>IFERROR(__xludf.DUMMYFUNCTION("""COMPUTED_VALUE"""),"X")</f>
        <v>X</v>
      </c>
      <c r="E1043" s="60" t="str">
        <f>IFERROR(__xludf.DUMMYFUNCTION("""COMPUTED_VALUE"""),"https://x.com/usaindhahran")</f>
        <v>https://x.com/usaindhahran</v>
      </c>
    </row>
    <row r="1044">
      <c r="A1044" s="59" t="str">
        <f>IFERROR(__xludf.DUMMYFUNCTION("""COMPUTED_VALUE"""),"NEA")</f>
        <v>NEA</v>
      </c>
      <c r="B1044" s="59" t="str">
        <f>IFERROR(__xludf.DUMMYFUNCTION("""COMPUTED_VALUE"""),"Saudi Arabia")</f>
        <v>Saudi Arabia</v>
      </c>
      <c r="C1044" s="59" t="str">
        <f>IFERROR(__xludf.DUMMYFUNCTION("""COMPUTED_VALUE"""),"U.S. Consulate General Jeddah")</f>
        <v>U.S. Consulate General Jeddah</v>
      </c>
      <c r="D1044" s="59" t="str">
        <f>IFERROR(__xludf.DUMMYFUNCTION("""COMPUTED_VALUE"""),"Facebook")</f>
        <v>Facebook</v>
      </c>
      <c r="E1044" s="60" t="str">
        <f>IFERROR(__xludf.DUMMYFUNCTION("""COMPUTED_VALUE"""),"https://www.facebook.com/usconsulatejeddah/")</f>
        <v>https://www.facebook.com/usconsulatejeddah/</v>
      </c>
    </row>
    <row r="1045">
      <c r="A1045" s="59" t="str">
        <f>IFERROR(__xludf.DUMMYFUNCTION("""COMPUTED_VALUE"""),"NEA")</f>
        <v>NEA</v>
      </c>
      <c r="B1045" s="59" t="str">
        <f>IFERROR(__xludf.DUMMYFUNCTION("""COMPUTED_VALUE"""),"Saudi Arabia")</f>
        <v>Saudi Arabia</v>
      </c>
      <c r="C1045" s="59" t="str">
        <f>IFERROR(__xludf.DUMMYFUNCTION("""COMPUTED_VALUE"""),"U.S. Consulate General Jeddah")</f>
        <v>U.S. Consulate General Jeddah</v>
      </c>
      <c r="D1045" s="59" t="str">
        <f>IFERROR(__xludf.DUMMYFUNCTION("""COMPUTED_VALUE"""),"Instagram")</f>
        <v>Instagram</v>
      </c>
      <c r="E1045" s="60" t="str">
        <f>IFERROR(__xludf.DUMMYFUNCTION("""COMPUTED_VALUE"""),"https://www.instagram.com/usconsulatejeddah/ ")</f>
        <v>https://www.instagram.com/usconsulatejeddah/ </v>
      </c>
    </row>
    <row r="1046">
      <c r="A1046" s="59" t="str">
        <f>IFERROR(__xludf.DUMMYFUNCTION("""COMPUTED_VALUE"""),"NEA")</f>
        <v>NEA</v>
      </c>
      <c r="B1046" s="59" t="str">
        <f>IFERROR(__xludf.DUMMYFUNCTION("""COMPUTED_VALUE"""),"Saudi Arabia")</f>
        <v>Saudi Arabia</v>
      </c>
      <c r="C1046" s="59" t="str">
        <f>IFERROR(__xludf.DUMMYFUNCTION("""COMPUTED_VALUE"""),"U.S. Consulate General Jeddah")</f>
        <v>U.S. Consulate General Jeddah</v>
      </c>
      <c r="D1046" s="59" t="str">
        <f>IFERROR(__xludf.DUMMYFUNCTION("""COMPUTED_VALUE"""),"X")</f>
        <v>X</v>
      </c>
      <c r="E1046" s="60" t="str">
        <f>IFERROR(__xludf.DUMMYFUNCTION("""COMPUTED_VALUE"""),"https://x.com/usconsulatejed ")</f>
        <v>https://x.com/usconsulatejed </v>
      </c>
    </row>
    <row r="1047">
      <c r="A1047" s="59" t="str">
        <f>IFERROR(__xludf.DUMMYFUNCTION("""COMPUTED_VALUE"""),"NEA")</f>
        <v>NEA</v>
      </c>
      <c r="B1047" s="59" t="str">
        <f>IFERROR(__xludf.DUMMYFUNCTION("""COMPUTED_VALUE"""),"Saudi Arabia")</f>
        <v>Saudi Arabia</v>
      </c>
      <c r="C1047" s="59" t="str">
        <f>IFERROR(__xludf.DUMMYFUNCTION("""COMPUTED_VALUE"""),"U.S. Consulate General Jeddah")</f>
        <v>U.S. Consulate General Jeddah</v>
      </c>
      <c r="D1047" s="59" t="str">
        <f>IFERROR(__xludf.DUMMYFUNCTION("""COMPUTED_VALUE"""),"YouTube")</f>
        <v>YouTube</v>
      </c>
      <c r="E1047" s="60" t="str">
        <f>IFERROR(__xludf.DUMMYFUNCTION("""COMPUTED_VALUE"""),"https://www.youtube.com/@USConsulateJed")</f>
        <v>https://www.youtube.com/@USConsulateJed</v>
      </c>
    </row>
    <row r="1048">
      <c r="A1048" s="59" t="str">
        <f>IFERROR(__xludf.DUMMYFUNCTION("""COMPUTED_VALUE"""),"NEA")</f>
        <v>NEA</v>
      </c>
      <c r="B1048" s="59" t="str">
        <f>IFERROR(__xludf.DUMMYFUNCTION("""COMPUTED_VALUE"""),"Saudi Arabia")</f>
        <v>Saudi Arabia</v>
      </c>
      <c r="C1048" s="59" t="str">
        <f>IFERROR(__xludf.DUMMYFUNCTION("""COMPUTED_VALUE"""),"U.S. Embassy Riyadh")</f>
        <v>U.S. Embassy Riyadh</v>
      </c>
      <c r="D1048" s="59" t="str">
        <f>IFERROR(__xludf.DUMMYFUNCTION("""COMPUTED_VALUE"""),"Facebook")</f>
        <v>Facebook</v>
      </c>
      <c r="E1048" s="60" t="str">
        <f>IFERROR(__xludf.DUMMYFUNCTION("""COMPUTED_VALUE"""),"https://www.facebook.com/USAinKSA/")</f>
        <v>https://www.facebook.com/USAinKSA/</v>
      </c>
    </row>
    <row r="1049">
      <c r="A1049" s="59" t="str">
        <f>IFERROR(__xludf.DUMMYFUNCTION("""COMPUTED_VALUE"""),"NEA")</f>
        <v>NEA</v>
      </c>
      <c r="B1049" s="59" t="str">
        <f>IFERROR(__xludf.DUMMYFUNCTION("""COMPUTED_VALUE"""),"Saudi Arabia")</f>
        <v>Saudi Arabia</v>
      </c>
      <c r="C1049" s="59" t="str">
        <f>IFERROR(__xludf.DUMMYFUNCTION("""COMPUTED_VALUE"""),"U.S. Embassy Riyadh")</f>
        <v>U.S. Embassy Riyadh</v>
      </c>
      <c r="D1049" s="59" t="str">
        <f>IFERROR(__xludf.DUMMYFUNCTION("""COMPUTED_VALUE"""),"Instagram")</f>
        <v>Instagram</v>
      </c>
      <c r="E1049" s="60" t="str">
        <f>IFERROR(__xludf.DUMMYFUNCTION("""COMPUTED_VALUE"""),"https://www.instagram.com/usainksa/")</f>
        <v>https://www.instagram.com/usainksa/</v>
      </c>
    </row>
    <row r="1050">
      <c r="A1050" s="59" t="str">
        <f>IFERROR(__xludf.DUMMYFUNCTION("""COMPUTED_VALUE"""),"NEA")</f>
        <v>NEA</v>
      </c>
      <c r="B1050" s="59" t="str">
        <f>IFERROR(__xludf.DUMMYFUNCTION("""COMPUTED_VALUE"""),"Saudi Arabia")</f>
        <v>Saudi Arabia</v>
      </c>
      <c r="C1050" s="59" t="str">
        <f>IFERROR(__xludf.DUMMYFUNCTION("""COMPUTED_VALUE"""),"U.S. Embassy Riyadh")</f>
        <v>U.S. Embassy Riyadh</v>
      </c>
      <c r="D1050" s="59" t="str">
        <f>IFERROR(__xludf.DUMMYFUNCTION("""COMPUTED_VALUE"""),"Snapchat")</f>
        <v>Snapchat</v>
      </c>
      <c r="E1050" s="59" t="str">
        <f>IFERROR(__xludf.DUMMYFUNCTION("""COMPUTED_VALUE"""),"usainksa")</f>
        <v>usainksa</v>
      </c>
    </row>
    <row r="1051">
      <c r="A1051" s="59" t="str">
        <f>IFERROR(__xludf.DUMMYFUNCTION("""COMPUTED_VALUE"""),"NEA")</f>
        <v>NEA</v>
      </c>
      <c r="B1051" s="59" t="str">
        <f>IFERROR(__xludf.DUMMYFUNCTION("""COMPUTED_VALUE"""),"Saudi Arabia")</f>
        <v>Saudi Arabia</v>
      </c>
      <c r="C1051" s="59" t="str">
        <f>IFERROR(__xludf.DUMMYFUNCTION("""COMPUTED_VALUE"""),"U.S. Embassy Riyadh")</f>
        <v>U.S. Embassy Riyadh</v>
      </c>
      <c r="D1051" s="59" t="str">
        <f>IFERROR(__xludf.DUMMYFUNCTION("""COMPUTED_VALUE"""),"X")</f>
        <v>X</v>
      </c>
      <c r="E1051" s="60" t="str">
        <f>IFERROR(__xludf.DUMMYFUNCTION("""COMPUTED_VALUE"""),"https://x.com/USAinKSA")</f>
        <v>https://x.com/USAinKSA</v>
      </c>
    </row>
    <row r="1052">
      <c r="A1052" s="59" t="str">
        <f>IFERROR(__xludf.DUMMYFUNCTION("""COMPUTED_VALUE"""),"NEA")</f>
        <v>NEA</v>
      </c>
      <c r="B1052" s="59" t="str">
        <f>IFERROR(__xludf.DUMMYFUNCTION("""COMPUTED_VALUE"""),"Saudi Arabia")</f>
        <v>Saudi Arabia</v>
      </c>
      <c r="C1052" s="59" t="str">
        <f>IFERROR(__xludf.DUMMYFUNCTION("""COMPUTED_VALUE"""),"U.S. Embassy Riyadh")</f>
        <v>U.S. Embassy Riyadh</v>
      </c>
      <c r="D1052" s="59" t="str">
        <f>IFERROR(__xludf.DUMMYFUNCTION("""COMPUTED_VALUE"""),"YouTube")</f>
        <v>YouTube</v>
      </c>
      <c r="E1052" s="60" t="str">
        <f>IFERROR(__xludf.DUMMYFUNCTION("""COMPUTED_VALUE"""),"https://youtube.com/user/usembassyriyadh")</f>
        <v>https://youtube.com/user/usembassyriyadh</v>
      </c>
    </row>
    <row r="1053">
      <c r="A1053" s="59" t="str">
        <f>IFERROR(__xludf.DUMMYFUNCTION("""COMPUTED_VALUE"""),"NEA")</f>
        <v>NEA</v>
      </c>
      <c r="B1053" s="59" t="str">
        <f>IFERROR(__xludf.DUMMYFUNCTION("""COMPUTED_VALUE"""),"Syria")</f>
        <v>Syria</v>
      </c>
      <c r="C1053" s="59" t="str">
        <f>IFERROR(__xludf.DUMMYFUNCTION("""COMPUTED_VALUE"""),"U.S. Embassy Syria")</f>
        <v>U.S. Embassy Syria</v>
      </c>
      <c r="D1053" s="59" t="str">
        <f>IFERROR(__xludf.DUMMYFUNCTION("""COMPUTED_VALUE"""),"Facebook")</f>
        <v>Facebook</v>
      </c>
      <c r="E1053" s="60" t="str">
        <f>IFERROR(__xludf.DUMMYFUNCTION("""COMPUTED_VALUE"""),"https://www.facebook.com/syria.usembassy/")</f>
        <v>https://www.facebook.com/syria.usembassy/</v>
      </c>
    </row>
    <row r="1054">
      <c r="A1054" s="59" t="str">
        <f>IFERROR(__xludf.DUMMYFUNCTION("""COMPUTED_VALUE"""),"NEA")</f>
        <v>NEA</v>
      </c>
      <c r="B1054" s="59" t="str">
        <f>IFERROR(__xludf.DUMMYFUNCTION("""COMPUTED_VALUE"""),"Syria")</f>
        <v>Syria</v>
      </c>
      <c r="C1054" s="59" t="str">
        <f>IFERROR(__xludf.DUMMYFUNCTION("""COMPUTED_VALUE"""),"U.S. Embassy Syria")</f>
        <v>U.S. Embassy Syria</v>
      </c>
      <c r="D1054" s="59" t="str">
        <f>IFERROR(__xludf.DUMMYFUNCTION("""COMPUTED_VALUE"""),"X")</f>
        <v>X</v>
      </c>
      <c r="E1054" s="60" t="str">
        <f>IFERROR(__xludf.DUMMYFUNCTION("""COMPUTED_VALUE"""),"https://x.com/USEmbassySyria")</f>
        <v>https://x.com/USEmbassySyria</v>
      </c>
    </row>
    <row r="1055">
      <c r="A1055" s="59" t="str">
        <f>IFERROR(__xludf.DUMMYFUNCTION("""COMPUTED_VALUE"""),"NEA")</f>
        <v>NEA</v>
      </c>
      <c r="B1055" s="59" t="str">
        <f>IFERROR(__xludf.DUMMYFUNCTION("""COMPUTED_VALUE"""),"Syria")</f>
        <v>Syria</v>
      </c>
      <c r="C1055" s="59" t="str">
        <f>IFERROR(__xludf.DUMMYFUNCTION("""COMPUTED_VALUE"""),"U.S. Embassy Syria")</f>
        <v>U.S. Embassy Syria</v>
      </c>
      <c r="D1055" s="59" t="str">
        <f>IFERROR(__xludf.DUMMYFUNCTION("""COMPUTED_VALUE"""),"YouTube")</f>
        <v>YouTube</v>
      </c>
      <c r="E1055" s="60" t="str">
        <f>IFERROR(__xludf.DUMMYFUNCTION("""COMPUTED_VALUE"""),"https://youtube.com/user/USEmbassyDamascus")</f>
        <v>https://youtube.com/user/USEmbassyDamascus</v>
      </c>
    </row>
    <row r="1056">
      <c r="A1056" s="59" t="str">
        <f>IFERROR(__xludf.DUMMYFUNCTION("""COMPUTED_VALUE"""),"NEA")</f>
        <v>NEA</v>
      </c>
      <c r="B1056" s="59" t="str">
        <f>IFERROR(__xludf.DUMMYFUNCTION("""COMPUTED_VALUE"""),"Tunisia")</f>
        <v>Tunisia</v>
      </c>
      <c r="C1056" s="59" t="str">
        <f>IFERROR(__xludf.DUMMYFUNCTION("""COMPUTED_VALUE"""),"U.S. Embassy Tunis")</f>
        <v>U.S. Embassy Tunis</v>
      </c>
      <c r="D1056" s="59" t="str">
        <f>IFERROR(__xludf.DUMMYFUNCTION("""COMPUTED_VALUE"""),"Facebook")</f>
        <v>Facebook</v>
      </c>
      <c r="E1056" s="60" t="str">
        <f>IFERROR(__xludf.DUMMYFUNCTION("""COMPUTED_VALUE"""),"https://www.facebook.com/usembassytunis/")</f>
        <v>https://www.facebook.com/usembassytunis/</v>
      </c>
    </row>
    <row r="1057">
      <c r="A1057" s="59" t="str">
        <f>IFERROR(__xludf.DUMMYFUNCTION("""COMPUTED_VALUE"""),"NEA")</f>
        <v>NEA</v>
      </c>
      <c r="B1057" s="59" t="str">
        <f>IFERROR(__xludf.DUMMYFUNCTION("""COMPUTED_VALUE"""),"Tunisia")</f>
        <v>Tunisia</v>
      </c>
      <c r="C1057" s="59" t="str">
        <f>IFERROR(__xludf.DUMMYFUNCTION("""COMPUTED_VALUE"""),"U.S. Embassy Tunis")</f>
        <v>U.S. Embassy Tunis</v>
      </c>
      <c r="D1057" s="59" t="str">
        <f>IFERROR(__xludf.DUMMYFUNCTION("""COMPUTED_VALUE"""),"Flickr")</f>
        <v>Flickr</v>
      </c>
      <c r="E1057" s="60" t="str">
        <f>IFERROR(__xludf.DUMMYFUNCTION("""COMPUTED_VALUE"""),"https://www.flickr.com/photos/usembassytunis/")</f>
        <v>https://www.flickr.com/photos/usembassytunis/</v>
      </c>
    </row>
    <row r="1058">
      <c r="A1058" s="59" t="str">
        <f>IFERROR(__xludf.DUMMYFUNCTION("""COMPUTED_VALUE"""),"NEA")</f>
        <v>NEA</v>
      </c>
      <c r="B1058" s="59" t="str">
        <f>IFERROR(__xludf.DUMMYFUNCTION("""COMPUTED_VALUE"""),"Tunisia")</f>
        <v>Tunisia</v>
      </c>
      <c r="C1058" s="59" t="str">
        <f>IFERROR(__xludf.DUMMYFUNCTION("""COMPUTED_VALUE"""),"U.S. Embassy Tunis")</f>
        <v>U.S. Embassy Tunis</v>
      </c>
      <c r="D1058" s="59" t="str">
        <f>IFERROR(__xludf.DUMMYFUNCTION("""COMPUTED_VALUE"""),"Instagram")</f>
        <v>Instagram</v>
      </c>
      <c r="E1058" s="60" t="str">
        <f>IFERROR(__xludf.DUMMYFUNCTION("""COMPUTED_VALUE"""),"https://www.instagram.com/usembassytunis/")</f>
        <v>https://www.instagram.com/usembassytunis/</v>
      </c>
    </row>
    <row r="1059">
      <c r="A1059" s="59" t="str">
        <f>IFERROR(__xludf.DUMMYFUNCTION("""COMPUTED_VALUE"""),"NEA")</f>
        <v>NEA</v>
      </c>
      <c r="B1059" s="59" t="str">
        <f>IFERROR(__xludf.DUMMYFUNCTION("""COMPUTED_VALUE"""),"Tunisia")</f>
        <v>Tunisia</v>
      </c>
      <c r="C1059" s="59" t="str">
        <f>IFERROR(__xludf.DUMMYFUNCTION("""COMPUTED_VALUE"""),"U.S. Embassy Tunis")</f>
        <v>U.S. Embassy Tunis</v>
      </c>
      <c r="D1059" s="59" t="str">
        <f>IFERROR(__xludf.DUMMYFUNCTION("""COMPUTED_VALUE"""),"LinkedIn")</f>
        <v>LinkedIn</v>
      </c>
      <c r="E1059" s="60" t="str">
        <f>IFERROR(__xludf.DUMMYFUNCTION("""COMPUTED_VALUE"""),"https://www.linkedin.com/company/usembassytunis/")</f>
        <v>https://www.linkedin.com/company/usembassytunis/</v>
      </c>
    </row>
    <row r="1060">
      <c r="A1060" s="59" t="str">
        <f>IFERROR(__xludf.DUMMYFUNCTION("""COMPUTED_VALUE"""),"NEA")</f>
        <v>NEA</v>
      </c>
      <c r="B1060" s="59" t="str">
        <f>IFERROR(__xludf.DUMMYFUNCTION("""COMPUTED_VALUE"""),"Tunisia")</f>
        <v>Tunisia</v>
      </c>
      <c r="C1060" s="59" t="str">
        <f>IFERROR(__xludf.DUMMYFUNCTION("""COMPUTED_VALUE"""),"U.S. Embassy Tunis")</f>
        <v>U.S. Embassy Tunis</v>
      </c>
      <c r="D1060" s="59" t="str">
        <f>IFERROR(__xludf.DUMMYFUNCTION("""COMPUTED_VALUE"""),"X")</f>
        <v>X</v>
      </c>
      <c r="E1060" s="60" t="str">
        <f>IFERROR(__xludf.DUMMYFUNCTION("""COMPUTED_VALUE"""),"https://x.com/usembassytunis")</f>
        <v>https://x.com/usembassytunis</v>
      </c>
    </row>
    <row r="1061">
      <c r="A1061" s="59" t="str">
        <f>IFERROR(__xludf.DUMMYFUNCTION("""COMPUTED_VALUE"""),"NEA")</f>
        <v>NEA</v>
      </c>
      <c r="B1061" s="59" t="str">
        <f>IFERROR(__xludf.DUMMYFUNCTION("""COMPUTED_VALUE"""),"Tunisia")</f>
        <v>Tunisia</v>
      </c>
      <c r="C1061" s="59" t="str">
        <f>IFERROR(__xludf.DUMMYFUNCTION("""COMPUTED_VALUE"""),"U.S. Embassy Tunis")</f>
        <v>U.S. Embassy Tunis</v>
      </c>
      <c r="D1061" s="59" t="str">
        <f>IFERROR(__xludf.DUMMYFUNCTION("""COMPUTED_VALUE"""),"YouTube")</f>
        <v>YouTube</v>
      </c>
      <c r="E1061" s="60" t="str">
        <f>IFERROR(__xludf.DUMMYFUNCTION("""COMPUTED_VALUE"""),"https://youtube.com/user/usembassytunis")</f>
        <v>https://youtube.com/user/usembassytunis</v>
      </c>
    </row>
    <row r="1062">
      <c r="A1062" s="59" t="str">
        <f>IFERROR(__xludf.DUMMYFUNCTION("""COMPUTED_VALUE"""),"NEA")</f>
        <v>NEA</v>
      </c>
      <c r="B1062" s="59" t="str">
        <f>IFERROR(__xludf.DUMMYFUNCTION("""COMPUTED_VALUE"""),"United Arab Emirates")</f>
        <v>United Arab Emirates</v>
      </c>
      <c r="C1062" s="59" t="str">
        <f>IFERROR(__xludf.DUMMYFUNCTION("""COMPUTED_VALUE"""),"U.S. Embassy Abu Dhabi")</f>
        <v>U.S. Embassy Abu Dhabi</v>
      </c>
      <c r="D1062" s="59" t="str">
        <f>IFERROR(__xludf.DUMMYFUNCTION("""COMPUTED_VALUE"""),"Facebook")</f>
        <v>Facebook</v>
      </c>
      <c r="E1062" s="60" t="str">
        <f>IFERROR(__xludf.DUMMYFUNCTION("""COMPUTED_VALUE"""),"https://www.facebook.com/USAinUAE/")</f>
        <v>https://www.facebook.com/USAinUAE/</v>
      </c>
    </row>
    <row r="1063">
      <c r="A1063" s="59" t="str">
        <f>IFERROR(__xludf.DUMMYFUNCTION("""COMPUTED_VALUE"""),"NEA")</f>
        <v>NEA</v>
      </c>
      <c r="B1063" s="59" t="str">
        <f>IFERROR(__xludf.DUMMYFUNCTION("""COMPUTED_VALUE"""),"United Arab Emirates")</f>
        <v>United Arab Emirates</v>
      </c>
      <c r="C1063" s="59" t="str">
        <f>IFERROR(__xludf.DUMMYFUNCTION("""COMPUTED_VALUE"""),"U.S. Embassy Abu Dhabi")</f>
        <v>U.S. Embassy Abu Dhabi</v>
      </c>
      <c r="D1063" s="59" t="str">
        <f>IFERROR(__xludf.DUMMYFUNCTION("""COMPUTED_VALUE"""),"Instagram")</f>
        <v>Instagram</v>
      </c>
      <c r="E1063" s="60" t="str">
        <f>IFERROR(__xludf.DUMMYFUNCTION("""COMPUTED_VALUE"""),"https://www.instagram.com/usainuae")</f>
        <v>https://www.instagram.com/usainuae</v>
      </c>
    </row>
    <row r="1064">
      <c r="A1064" s="59" t="str">
        <f>IFERROR(__xludf.DUMMYFUNCTION("""COMPUTED_VALUE"""),"NEA")</f>
        <v>NEA</v>
      </c>
      <c r="B1064" s="59" t="str">
        <f>IFERROR(__xludf.DUMMYFUNCTION("""COMPUTED_VALUE"""),"United Arab Emirates")</f>
        <v>United Arab Emirates</v>
      </c>
      <c r="C1064" s="59" t="str">
        <f>IFERROR(__xludf.DUMMYFUNCTION("""COMPUTED_VALUE"""),"U.S. Embassy Abu Dhabi")</f>
        <v>U.S. Embassy Abu Dhabi</v>
      </c>
      <c r="D1064" s="59" t="str">
        <f>IFERROR(__xludf.DUMMYFUNCTION("""COMPUTED_VALUE"""),"LinkedIn")</f>
        <v>LinkedIn</v>
      </c>
      <c r="E1064" s="60" t="str">
        <f>IFERROR(__xludf.DUMMYFUNCTION("""COMPUTED_VALUE"""),"https://www.linkedin.com/company/usainuae/")</f>
        <v>https://www.linkedin.com/company/usainuae/</v>
      </c>
    </row>
    <row r="1065">
      <c r="A1065" s="59" t="str">
        <f>IFERROR(__xludf.DUMMYFUNCTION("""COMPUTED_VALUE"""),"NEA")</f>
        <v>NEA</v>
      </c>
      <c r="B1065" s="59" t="str">
        <f>IFERROR(__xludf.DUMMYFUNCTION("""COMPUTED_VALUE"""),"United Arab Emirates")</f>
        <v>United Arab Emirates</v>
      </c>
      <c r="C1065" s="59" t="str">
        <f>IFERROR(__xludf.DUMMYFUNCTION("""COMPUTED_VALUE"""),"U.S. Embassy Abu Dhabi")</f>
        <v>U.S. Embassy Abu Dhabi</v>
      </c>
      <c r="D1065" s="59" t="str">
        <f>IFERROR(__xludf.DUMMYFUNCTION("""COMPUTED_VALUE"""),"X")</f>
        <v>X</v>
      </c>
      <c r="E1065" s="60" t="str">
        <f>IFERROR(__xludf.DUMMYFUNCTION("""COMPUTED_VALUE"""),"https://x.com/USAinUAE")</f>
        <v>https://x.com/USAinUAE</v>
      </c>
    </row>
    <row r="1066">
      <c r="A1066" s="59" t="str">
        <f>IFERROR(__xludf.DUMMYFUNCTION("""COMPUTED_VALUE"""),"NEA")</f>
        <v>NEA</v>
      </c>
      <c r="B1066" s="59" t="str">
        <f>IFERROR(__xludf.DUMMYFUNCTION("""COMPUTED_VALUE"""),"United Arab Emirates")</f>
        <v>United Arab Emirates</v>
      </c>
      <c r="C1066" s="59" t="str">
        <f>IFERROR(__xludf.DUMMYFUNCTION("""COMPUTED_VALUE"""),"U.S. Embassy Abu Dhabi")</f>
        <v>U.S. Embassy Abu Dhabi</v>
      </c>
      <c r="D1066" s="59" t="str">
        <f>IFERROR(__xludf.DUMMYFUNCTION("""COMPUTED_VALUE"""),"YouTube")</f>
        <v>YouTube</v>
      </c>
      <c r="E1066" s="60" t="str">
        <f>IFERROR(__xludf.DUMMYFUNCTION("""COMPUTED_VALUE"""),"https://youtube.com/user/USEmbUAE")</f>
        <v>https://youtube.com/user/USEmbUAE</v>
      </c>
    </row>
    <row r="1067">
      <c r="A1067" s="59" t="str">
        <f>IFERROR(__xludf.DUMMYFUNCTION("""COMPUTED_VALUE"""),"NEA")</f>
        <v>NEA</v>
      </c>
      <c r="B1067" s="59" t="str">
        <f>IFERROR(__xludf.DUMMYFUNCTION("""COMPUTED_VALUE"""),"United States")</f>
        <v>United States</v>
      </c>
      <c r="C1067" s="59" t="str">
        <f>IFERROR(__xludf.DUMMYFUNCTION("""COMPUTED_VALUE"""),"Bureau of Near Eastern Affairs")</f>
        <v>Bureau of Near Eastern Affairs</v>
      </c>
      <c r="D1067" s="59" t="str">
        <f>IFERROR(__xludf.DUMMYFUNCTION("""COMPUTED_VALUE"""),"X")</f>
        <v>X</v>
      </c>
      <c r="E1067" s="60" t="str">
        <f>IFERROR(__xludf.DUMMYFUNCTION("""COMPUTED_VALUE"""),"https://x.com/StateDept_NEA")</f>
        <v>https://x.com/StateDept_NEA</v>
      </c>
    </row>
    <row r="1068">
      <c r="A1068" s="59" t="str">
        <f>IFERROR(__xludf.DUMMYFUNCTION("""COMPUTED_VALUE"""),"NEA")</f>
        <v>NEA</v>
      </c>
      <c r="B1068" s="59" t="str">
        <f>IFERROR(__xludf.DUMMYFUNCTION("""COMPUTED_VALUE"""),"United States")</f>
        <v>United States</v>
      </c>
      <c r="C1068" s="59" t="str">
        <f>IFERROR(__xludf.DUMMYFUNCTION("""COMPUTED_VALUE"""),"USMEPI")</f>
        <v>USMEPI</v>
      </c>
      <c r="D1068" s="59" t="str">
        <f>IFERROR(__xludf.DUMMYFUNCTION("""COMPUTED_VALUE"""),"Facebook")</f>
        <v>Facebook</v>
      </c>
      <c r="E1068" s="60" t="str">
        <f>IFERROR(__xludf.DUMMYFUNCTION("""COMPUTED_VALUE"""),"https://www.facebook.com/USMEPI/")</f>
        <v>https://www.facebook.com/USMEPI/</v>
      </c>
    </row>
    <row r="1069">
      <c r="A1069" s="59" t="str">
        <f>IFERROR(__xludf.DUMMYFUNCTION("""COMPUTED_VALUE"""),"NEA")</f>
        <v>NEA</v>
      </c>
      <c r="B1069" s="59" t="str">
        <f>IFERROR(__xludf.DUMMYFUNCTION("""COMPUTED_VALUE"""),"United States")</f>
        <v>United States</v>
      </c>
      <c r="C1069" s="59" t="str">
        <f>IFERROR(__xludf.DUMMYFUNCTION("""COMPUTED_VALUE"""),"USMEPI")</f>
        <v>USMEPI</v>
      </c>
      <c r="D1069" s="59" t="str">
        <f>IFERROR(__xludf.DUMMYFUNCTION("""COMPUTED_VALUE"""),"X")</f>
        <v>X</v>
      </c>
      <c r="E1069" s="60" t="str">
        <f>IFERROR(__xludf.DUMMYFUNCTION("""COMPUTED_VALUE"""),"https://x.com/USMEPI")</f>
        <v>https://x.com/USMEPI</v>
      </c>
    </row>
    <row r="1070">
      <c r="A1070" s="59" t="str">
        <f>IFERROR(__xludf.DUMMYFUNCTION("""COMPUTED_VALUE"""),"NEA")</f>
        <v>NEA</v>
      </c>
      <c r="B1070" s="59" t="str">
        <f>IFERROR(__xludf.DUMMYFUNCTION("""COMPUTED_VALUE"""),"United States")</f>
        <v>United States</v>
      </c>
      <c r="C1070" s="59" t="str">
        <f>IFERROR(__xludf.DUMMYFUNCTION("""COMPUTED_VALUE"""),"Virtual Embassy in Iran")</f>
        <v>Virtual Embassy in Iran</v>
      </c>
      <c r="D1070" s="59" t="str">
        <f>IFERROR(__xludf.DUMMYFUNCTION("""COMPUTED_VALUE"""),"Facebook")</f>
        <v>Facebook</v>
      </c>
      <c r="E1070" s="60" t="str">
        <f>IFERROR(__xludf.DUMMYFUNCTION("""COMPUTED_VALUE"""),"https://www.facebook.com/USAbehFarsi/")</f>
        <v>https://www.facebook.com/USAbehFarsi/</v>
      </c>
    </row>
    <row r="1071">
      <c r="A1071" s="59" t="str">
        <f>IFERROR(__xludf.DUMMYFUNCTION("""COMPUTED_VALUE"""),"NEA")</f>
        <v>NEA</v>
      </c>
      <c r="B1071" s="59" t="str">
        <f>IFERROR(__xludf.DUMMYFUNCTION("""COMPUTED_VALUE"""),"United States")</f>
        <v>United States</v>
      </c>
      <c r="C1071" s="59" t="str">
        <f>IFERROR(__xludf.DUMMYFUNCTION("""COMPUTED_VALUE"""),"Virtual Embassy in Iran")</f>
        <v>Virtual Embassy in Iran</v>
      </c>
      <c r="D1071" s="59" t="str">
        <f>IFERROR(__xludf.DUMMYFUNCTION("""COMPUTED_VALUE"""),"Instagram")</f>
        <v>Instagram</v>
      </c>
      <c r="E1071" s="60" t="str">
        <f>IFERROR(__xludf.DUMMYFUNCTION("""COMPUTED_VALUE"""),"https://www.instagram.com/usabehfarsi/")</f>
        <v>https://www.instagram.com/usabehfarsi/</v>
      </c>
    </row>
    <row r="1072">
      <c r="A1072" s="59" t="str">
        <f>IFERROR(__xludf.DUMMYFUNCTION("""COMPUTED_VALUE"""),"NEA")</f>
        <v>NEA</v>
      </c>
      <c r="B1072" s="59" t="str">
        <f>IFERROR(__xludf.DUMMYFUNCTION("""COMPUTED_VALUE"""),"United States")</f>
        <v>United States</v>
      </c>
      <c r="C1072" s="59" t="str">
        <f>IFERROR(__xludf.DUMMYFUNCTION("""COMPUTED_VALUE"""),"Virtual Embassy in Iran")</f>
        <v>Virtual Embassy in Iran</v>
      </c>
      <c r="D1072" s="59" t="str">
        <f>IFERROR(__xludf.DUMMYFUNCTION("""COMPUTED_VALUE"""),"X")</f>
        <v>X</v>
      </c>
      <c r="E1072" s="60" t="str">
        <f>IFERROR(__xludf.DUMMYFUNCTION("""COMPUTED_VALUE"""),"https://x.com/USAbehFarsi")</f>
        <v>https://x.com/USAbehFarsi</v>
      </c>
    </row>
    <row r="1073">
      <c r="A1073" s="59" t="str">
        <f>IFERROR(__xludf.DUMMYFUNCTION("""COMPUTED_VALUE"""),"NEA")</f>
        <v>NEA</v>
      </c>
      <c r="B1073" s="59" t="str">
        <f>IFERROR(__xludf.DUMMYFUNCTION("""COMPUTED_VALUE"""),"Yemen")</f>
        <v>Yemen</v>
      </c>
      <c r="C1073" s="59" t="str">
        <f>IFERROR(__xludf.DUMMYFUNCTION("""COMPUTED_VALUE"""),"U.S. Embassy Sana'a")</f>
        <v>U.S. Embassy Sana'a</v>
      </c>
      <c r="D1073" s="59" t="str">
        <f>IFERROR(__xludf.DUMMYFUNCTION("""COMPUTED_VALUE"""),"Facebook")</f>
        <v>Facebook</v>
      </c>
      <c r="E1073" s="60" t="str">
        <f>IFERROR(__xludf.DUMMYFUNCTION("""COMPUTED_VALUE"""),"https://www.facebook.com/USEmbassyYemen/")</f>
        <v>https://www.facebook.com/USEmbassyYemen/</v>
      </c>
    </row>
    <row r="1074">
      <c r="A1074" s="59" t="str">
        <f>IFERROR(__xludf.DUMMYFUNCTION("""COMPUTED_VALUE"""),"NEA")</f>
        <v>NEA</v>
      </c>
      <c r="B1074" s="59" t="str">
        <f>IFERROR(__xludf.DUMMYFUNCTION("""COMPUTED_VALUE"""),"Yemen")</f>
        <v>Yemen</v>
      </c>
      <c r="C1074" s="59" t="str">
        <f>IFERROR(__xludf.DUMMYFUNCTION("""COMPUTED_VALUE"""),"U.S. Embassy Sana'a")</f>
        <v>U.S. Embassy Sana'a</v>
      </c>
      <c r="D1074" s="59" t="str">
        <f>IFERROR(__xludf.DUMMYFUNCTION("""COMPUTED_VALUE"""),"X")</f>
        <v>X</v>
      </c>
      <c r="E1074" s="60" t="str">
        <f>IFERROR(__xludf.DUMMYFUNCTION("""COMPUTED_VALUE"""),"https://x.com/USEmbassyYemen")</f>
        <v>https://x.com/USEmbassyYemen</v>
      </c>
    </row>
    <row r="1075">
      <c r="A1075" s="59" t="str">
        <f>IFERROR(__xludf.DUMMYFUNCTION("""COMPUTED_VALUE"""),"NEA")</f>
        <v>NEA</v>
      </c>
      <c r="B1075" s="59" t="str">
        <f>IFERROR(__xludf.DUMMYFUNCTION("""COMPUTED_VALUE"""),"Yemen")</f>
        <v>Yemen</v>
      </c>
      <c r="C1075" s="59" t="str">
        <f>IFERROR(__xludf.DUMMYFUNCTION("""COMPUTED_VALUE"""),"U.S. Embassy Sana'a")</f>
        <v>U.S. Embassy Sana'a</v>
      </c>
      <c r="D1075" s="59" t="str">
        <f>IFERROR(__xludf.DUMMYFUNCTION("""COMPUTED_VALUE"""),"YouTube")</f>
        <v>YouTube</v>
      </c>
      <c r="E1075" s="60" t="str">
        <f>IFERROR(__xludf.DUMMYFUNCTION("""COMPUTED_VALUE"""),"https://youtube.com/user/USEmbassyYemen")</f>
        <v>https://youtube.com/user/USEmbassyYemen</v>
      </c>
    </row>
    <row r="1076">
      <c r="A1076" s="59" t="str">
        <f>IFERROR(__xludf.DUMMYFUNCTION("""COMPUTED_VALUE"""),"NEA")</f>
        <v>NEA</v>
      </c>
      <c r="B1076" s="59" t="str">
        <f>IFERROR(__xludf.DUMMYFUNCTION("""COMPUTED_VALUE"""),"Yemen")</f>
        <v>Yemen</v>
      </c>
      <c r="C1076" s="59" t="str">
        <f>IFERROR(__xludf.DUMMYFUNCTION("""COMPUTED_VALUE"""),"U.S. Embassy Sana'a")</f>
        <v>U.S. Embassy Sana'a</v>
      </c>
      <c r="D1076" s="59" t="str">
        <f>IFERROR(__xludf.DUMMYFUNCTION("""COMPUTED_VALUE"""),"WhatsApp")</f>
        <v>WhatsApp</v>
      </c>
      <c r="E1076" s="60" t="str">
        <f>IFERROR(__xludf.DUMMYFUNCTION("""COMPUTED_VALUE"""),"https://whatsapp.com/channel/0029VaKCAmaC6ZvmIO6Qc81u")</f>
        <v>https://whatsapp.com/channel/0029VaKCAmaC6ZvmIO6Qc81u</v>
      </c>
    </row>
    <row r="1077">
      <c r="A1077" s="59" t="str">
        <f>IFERROR(__xludf.DUMMYFUNCTION("""COMPUTED_VALUE"""),"NEA")</f>
        <v>NEA</v>
      </c>
      <c r="B1077" s="59" t="str">
        <f>IFERROR(__xludf.DUMMYFUNCTION("""COMPUTED_VALUE"""),"Yemen")</f>
        <v>Yemen</v>
      </c>
      <c r="C1077" s="59" t="str">
        <f>IFERROR(__xludf.DUMMYFUNCTION("""COMPUTED_VALUE"""),"U.S. Embassy Sana'a")</f>
        <v>U.S. Embassy Sana'a</v>
      </c>
      <c r="D1077" s="59" t="str">
        <f>IFERROR(__xludf.DUMMYFUNCTION("""COMPUTED_VALUE"""),"Instagram")</f>
        <v>Instagram</v>
      </c>
      <c r="E1077" s="60" t="str">
        <f>IFERROR(__xludf.DUMMYFUNCTION("""COMPUTED_VALUE"""),"https://www.instagram.com/usembassyyemen/")</f>
        <v>https://www.instagram.com/usembassyyemen/</v>
      </c>
    </row>
    <row r="1078">
      <c r="A1078" s="59" t="str">
        <f>IFERROR(__xludf.DUMMYFUNCTION("""COMPUTED_VALUE"""),"SCA")</f>
        <v>SCA</v>
      </c>
      <c r="B1078" s="59" t="str">
        <f>IFERROR(__xludf.DUMMYFUNCTION("""COMPUTED_VALUE"""),"Afghanistan")</f>
        <v>Afghanistan</v>
      </c>
      <c r="C1078" s="59" t="str">
        <f>IFERROR(__xludf.DUMMYFUNCTION("""COMPUTED_VALUE"""),"U.S. Ambassador to Kabul")</f>
        <v>U.S. Ambassador to Kabul</v>
      </c>
      <c r="D1078" s="59" t="str">
        <f>IFERROR(__xludf.DUMMYFUNCTION("""COMPUTED_VALUE"""),"X")</f>
        <v>X</v>
      </c>
      <c r="E1078" s="60" t="str">
        <f>IFERROR(__xludf.DUMMYFUNCTION("""COMPUTED_VALUE"""),"https://x.com/USAmbKabul")</f>
        <v>https://x.com/USAmbKabul</v>
      </c>
    </row>
    <row r="1079">
      <c r="A1079" s="59" t="str">
        <f>IFERROR(__xludf.DUMMYFUNCTION("""COMPUTED_VALUE"""),"SCA")</f>
        <v>SCA</v>
      </c>
      <c r="B1079" s="59" t="str">
        <f>IFERROR(__xludf.DUMMYFUNCTION("""COMPUTED_VALUE"""),"Afghanistan")</f>
        <v>Afghanistan</v>
      </c>
      <c r="C1079" s="59" t="str">
        <f>IFERROR(__xludf.DUMMYFUNCTION("""COMPUTED_VALUE"""),"U.S. Embassy Kabul")</f>
        <v>U.S. Embassy Kabul</v>
      </c>
      <c r="D1079" s="59" t="str">
        <f>IFERROR(__xludf.DUMMYFUNCTION("""COMPUTED_VALUE"""),"Facebook")</f>
        <v>Facebook</v>
      </c>
      <c r="E1079" s="60" t="str">
        <f>IFERROR(__xludf.DUMMYFUNCTION("""COMPUTED_VALUE"""),"https://www.facebook.com/kabulusembassy/")</f>
        <v>https://www.facebook.com/kabulusembassy/</v>
      </c>
    </row>
    <row r="1080">
      <c r="A1080" s="59" t="str">
        <f>IFERROR(__xludf.DUMMYFUNCTION("""COMPUTED_VALUE"""),"SCA")</f>
        <v>SCA</v>
      </c>
      <c r="B1080" s="59" t="str">
        <f>IFERROR(__xludf.DUMMYFUNCTION("""COMPUTED_VALUE"""),"Afghanistan")</f>
        <v>Afghanistan</v>
      </c>
      <c r="C1080" s="59" t="str">
        <f>IFERROR(__xludf.DUMMYFUNCTION("""COMPUTED_VALUE"""),"U.S. Embassy Kabul")</f>
        <v>U.S. Embassy Kabul</v>
      </c>
      <c r="D1080" s="59" t="str">
        <f>IFERROR(__xludf.DUMMYFUNCTION("""COMPUTED_VALUE"""),"X")</f>
        <v>X</v>
      </c>
      <c r="E1080" s="60" t="str">
        <f>IFERROR(__xludf.DUMMYFUNCTION("""COMPUTED_VALUE"""),"https://x.com/USEmbassyKabul")</f>
        <v>https://x.com/USEmbassyKabul</v>
      </c>
    </row>
    <row r="1081">
      <c r="A1081" s="59" t="str">
        <f>IFERROR(__xludf.DUMMYFUNCTION("""COMPUTED_VALUE"""),"SCA")</f>
        <v>SCA</v>
      </c>
      <c r="B1081" s="59" t="str">
        <f>IFERROR(__xludf.DUMMYFUNCTION("""COMPUTED_VALUE"""),"Afghanistan")</f>
        <v>Afghanistan</v>
      </c>
      <c r="C1081" s="59" t="str">
        <f>IFERROR(__xludf.DUMMYFUNCTION("""COMPUTED_VALUE"""),"U.S. Embassy Kabul")</f>
        <v>U.S. Embassy Kabul</v>
      </c>
      <c r="D1081" s="59" t="str">
        <f>IFERROR(__xludf.DUMMYFUNCTION("""COMPUTED_VALUE"""),"X")</f>
        <v>X</v>
      </c>
      <c r="E1081" s="60" t="str">
        <f>IFERROR(__xludf.DUMMYFUNCTION("""COMPUTED_VALUE"""),"https://x.com/USAmbKabul")</f>
        <v>https://x.com/USAmbKabul</v>
      </c>
    </row>
    <row r="1082">
      <c r="A1082" s="59" t="str">
        <f>IFERROR(__xludf.DUMMYFUNCTION("""COMPUTED_VALUE"""),"SCA")</f>
        <v>SCA</v>
      </c>
      <c r="B1082" s="59" t="str">
        <f>IFERROR(__xludf.DUMMYFUNCTION("""COMPUTED_VALUE"""),"Bangladesh")</f>
        <v>Bangladesh</v>
      </c>
      <c r="C1082" s="59" t="str">
        <f>IFERROR(__xludf.DUMMYFUNCTION("""COMPUTED_VALUE"""),"U.S. Embassy Dhaka")</f>
        <v>U.S. Embassy Dhaka</v>
      </c>
      <c r="D1082" s="59" t="str">
        <f>IFERROR(__xludf.DUMMYFUNCTION("""COMPUTED_VALUE"""),"Facebook")</f>
        <v>Facebook</v>
      </c>
      <c r="E1082" s="60" t="str">
        <f>IFERROR(__xludf.DUMMYFUNCTION("""COMPUTED_VALUE"""),"https://www.facebook.com/bangladesh.usembassy/")</f>
        <v>https://www.facebook.com/bangladesh.usembassy/</v>
      </c>
    </row>
    <row r="1083">
      <c r="A1083" s="59" t="str">
        <f>IFERROR(__xludf.DUMMYFUNCTION("""COMPUTED_VALUE"""),"SCA")</f>
        <v>SCA</v>
      </c>
      <c r="B1083" s="59" t="str">
        <f>IFERROR(__xludf.DUMMYFUNCTION("""COMPUTED_VALUE"""),"Bangladesh")</f>
        <v>Bangladesh</v>
      </c>
      <c r="C1083" s="59" t="str">
        <f>IFERROR(__xludf.DUMMYFUNCTION("""COMPUTED_VALUE"""),"U.S. Embassy Dhaka")</f>
        <v>U.S. Embassy Dhaka</v>
      </c>
      <c r="D1083" s="59" t="str">
        <f>IFERROR(__xludf.DUMMYFUNCTION("""COMPUTED_VALUE"""),"Flickr")</f>
        <v>Flickr</v>
      </c>
      <c r="E1083" s="60" t="str">
        <f>IFERROR(__xludf.DUMMYFUNCTION("""COMPUTED_VALUE"""),"https://www.flickr.com/photos/usembassydhaka")</f>
        <v>https://www.flickr.com/photos/usembassydhaka</v>
      </c>
    </row>
    <row r="1084">
      <c r="A1084" s="59" t="str">
        <f>IFERROR(__xludf.DUMMYFUNCTION("""COMPUTED_VALUE"""),"SCA")</f>
        <v>SCA</v>
      </c>
      <c r="B1084" s="59" t="str">
        <f>IFERROR(__xludf.DUMMYFUNCTION("""COMPUTED_VALUE"""),"Bangladesh")</f>
        <v>Bangladesh</v>
      </c>
      <c r="C1084" s="59" t="str">
        <f>IFERROR(__xludf.DUMMYFUNCTION("""COMPUTED_VALUE"""),"U.S. Embassy Dhaka")</f>
        <v>U.S. Embassy Dhaka</v>
      </c>
      <c r="D1084" s="59" t="str">
        <f>IFERROR(__xludf.DUMMYFUNCTION("""COMPUTED_VALUE"""),"X")</f>
        <v>X</v>
      </c>
      <c r="E1084" s="60" t="str">
        <f>IFERROR(__xludf.DUMMYFUNCTION("""COMPUTED_VALUE"""),"https://x.com/usembassydhaka")</f>
        <v>https://x.com/usembassydhaka</v>
      </c>
    </row>
    <row r="1085">
      <c r="A1085" s="59" t="str">
        <f>IFERROR(__xludf.DUMMYFUNCTION("""COMPUTED_VALUE"""),"SCA")</f>
        <v>SCA</v>
      </c>
      <c r="B1085" s="59" t="str">
        <f>IFERROR(__xludf.DUMMYFUNCTION("""COMPUTED_VALUE"""),"Bangladesh")</f>
        <v>Bangladesh</v>
      </c>
      <c r="C1085" s="59" t="str">
        <f>IFERROR(__xludf.DUMMYFUNCTION("""COMPUTED_VALUE"""),"U.S. Embassy Dhaka")</f>
        <v>U.S. Embassy Dhaka</v>
      </c>
      <c r="D1085" s="59" t="str">
        <f>IFERROR(__xludf.DUMMYFUNCTION("""COMPUTED_VALUE"""),"YouTube")</f>
        <v>YouTube</v>
      </c>
      <c r="E1085" s="60" t="str">
        <f>IFERROR(__xludf.DUMMYFUNCTION("""COMPUTED_VALUE"""),"https://www.youtube.com/user/TheUSEmbassyDhaka")</f>
        <v>https://www.youtube.com/user/TheUSEmbassyDhaka</v>
      </c>
    </row>
    <row r="1086">
      <c r="A1086" s="59" t="str">
        <f>IFERROR(__xludf.DUMMYFUNCTION("""COMPUTED_VALUE"""),"SCA")</f>
        <v>SCA</v>
      </c>
      <c r="B1086" s="59" t="str">
        <f>IFERROR(__xludf.DUMMYFUNCTION("""COMPUTED_VALUE"""),"Bhutan")</f>
        <v>Bhutan</v>
      </c>
      <c r="C1086" s="59" t="str">
        <f>IFERROR(__xludf.DUMMYFUNCTION("""COMPUTED_VALUE"""),"U.S. Embassy New Delhi")</f>
        <v>U.S. Embassy New Delhi</v>
      </c>
      <c r="D1086" s="59" t="str">
        <f>IFERROR(__xludf.DUMMYFUNCTION("""COMPUTED_VALUE"""),"Facebook")</f>
        <v>Facebook</v>
      </c>
      <c r="E1086" s="60" t="str">
        <f>IFERROR(__xludf.DUMMYFUNCTION("""COMPUTED_VALUE"""),"https://www.facebook.com/USandBhutan")</f>
        <v>https://www.facebook.com/USandBhutan</v>
      </c>
    </row>
    <row r="1087">
      <c r="A1087" s="59" t="str">
        <f>IFERROR(__xludf.DUMMYFUNCTION("""COMPUTED_VALUE"""),"SCA")</f>
        <v>SCA</v>
      </c>
      <c r="B1087" s="59" t="str">
        <f>IFERROR(__xludf.DUMMYFUNCTION("""COMPUTED_VALUE"""),"India")</f>
        <v>India</v>
      </c>
      <c r="C1087" s="59" t="str">
        <f>IFERROR(__xludf.DUMMYFUNCTION("""COMPUTED_VALUE"""),"U.S. Ambassador to India")</f>
        <v>U.S. Ambassador to India</v>
      </c>
      <c r="D1087" s="59" t="str">
        <f>IFERROR(__xludf.DUMMYFUNCTION("""COMPUTED_VALUE"""),"X")</f>
        <v>X</v>
      </c>
      <c r="E1087" s="60" t="str">
        <f>IFERROR(__xludf.DUMMYFUNCTION("""COMPUTED_VALUE"""),"https://x.com/USAmbIndia")</f>
        <v>https://x.com/USAmbIndia</v>
      </c>
    </row>
    <row r="1088">
      <c r="A1088" s="59" t="str">
        <f>IFERROR(__xludf.DUMMYFUNCTION("""COMPUTED_VALUE"""),"SCA")</f>
        <v>SCA</v>
      </c>
      <c r="B1088" s="59" t="str">
        <f>IFERROR(__xludf.DUMMYFUNCTION("""COMPUTED_VALUE"""),"India")</f>
        <v>India</v>
      </c>
      <c r="C1088" s="59" t="str">
        <f>IFERROR(__xludf.DUMMYFUNCTION("""COMPUTED_VALUE"""),"U.S. Consulate General Chennai")</f>
        <v>U.S. Consulate General Chennai</v>
      </c>
      <c r="D1088" s="59" t="str">
        <f>IFERROR(__xludf.DUMMYFUNCTION("""COMPUTED_VALUE"""),"Facebook")</f>
        <v>Facebook</v>
      </c>
      <c r="E1088" s="60" t="str">
        <f>IFERROR(__xludf.DUMMYFUNCTION("""COMPUTED_VALUE"""),"https://www.facebook.com/chennai.usconsulate")</f>
        <v>https://www.facebook.com/chennai.usconsulate</v>
      </c>
    </row>
    <row r="1089">
      <c r="A1089" s="59" t="str">
        <f>IFERROR(__xludf.DUMMYFUNCTION("""COMPUTED_VALUE"""),"SCA")</f>
        <v>SCA</v>
      </c>
      <c r="B1089" s="59" t="str">
        <f>IFERROR(__xludf.DUMMYFUNCTION("""COMPUTED_VALUE"""),"India")</f>
        <v>India</v>
      </c>
      <c r="C1089" s="59" t="str">
        <f>IFERROR(__xludf.DUMMYFUNCTION("""COMPUTED_VALUE"""),"U.S. Consulate General Chennai")</f>
        <v>U.S. Consulate General Chennai</v>
      </c>
      <c r="D1089" s="59" t="str">
        <f>IFERROR(__xludf.DUMMYFUNCTION("""COMPUTED_VALUE"""),"Instagram")</f>
        <v>Instagram</v>
      </c>
      <c r="E1089" s="60" t="str">
        <f>IFERROR(__xludf.DUMMYFUNCTION("""COMPUTED_VALUE"""),"https://www.instagram.com/usconsulatechennai")</f>
        <v>https://www.instagram.com/usconsulatechennai</v>
      </c>
    </row>
    <row r="1090">
      <c r="A1090" s="59" t="str">
        <f>IFERROR(__xludf.DUMMYFUNCTION("""COMPUTED_VALUE"""),"SCA")</f>
        <v>SCA</v>
      </c>
      <c r="B1090" s="59" t="str">
        <f>IFERROR(__xludf.DUMMYFUNCTION("""COMPUTED_VALUE"""),"India")</f>
        <v>India</v>
      </c>
      <c r="C1090" s="59" t="str">
        <f>IFERROR(__xludf.DUMMYFUNCTION("""COMPUTED_VALUE"""),"U.S. Consulate General Chennai")</f>
        <v>U.S. Consulate General Chennai</v>
      </c>
      <c r="D1090" s="59" t="str">
        <f>IFERROR(__xludf.DUMMYFUNCTION("""COMPUTED_VALUE"""),"X")</f>
        <v>X</v>
      </c>
      <c r="E1090" s="60" t="str">
        <f>IFERROR(__xludf.DUMMYFUNCTION("""COMPUTED_VALUE"""),"https://x.com/USAndChennai")</f>
        <v>https://x.com/USAndChennai</v>
      </c>
    </row>
    <row r="1091">
      <c r="A1091" s="59" t="str">
        <f>IFERROR(__xludf.DUMMYFUNCTION("""COMPUTED_VALUE"""),"SCA")</f>
        <v>SCA</v>
      </c>
      <c r="B1091" s="59" t="str">
        <f>IFERROR(__xludf.DUMMYFUNCTION("""COMPUTED_VALUE"""),"India")</f>
        <v>India</v>
      </c>
      <c r="C1091" s="59" t="str">
        <f>IFERROR(__xludf.DUMMYFUNCTION("""COMPUTED_VALUE"""),"U.S. Consulate General Chennai")</f>
        <v>U.S. Consulate General Chennai</v>
      </c>
      <c r="D1091" s="59" t="str">
        <f>IFERROR(__xludf.DUMMYFUNCTION("""COMPUTED_VALUE"""),"YouTube")</f>
        <v>YouTube</v>
      </c>
      <c r="E1091" s="60" t="str">
        <f>IFERROR(__xludf.DUMMYFUNCTION("""COMPUTED_VALUE"""),"https://www.youtube.com/user/AmConGenChennai")</f>
        <v>https://www.youtube.com/user/AmConGenChennai</v>
      </c>
    </row>
    <row r="1092">
      <c r="A1092" s="59" t="str">
        <f>IFERROR(__xludf.DUMMYFUNCTION("""COMPUTED_VALUE"""),"SCA")</f>
        <v>SCA</v>
      </c>
      <c r="B1092" s="59" t="str">
        <f>IFERROR(__xludf.DUMMYFUNCTION("""COMPUTED_VALUE"""),"India")</f>
        <v>India</v>
      </c>
      <c r="C1092" s="59" t="str">
        <f>IFERROR(__xludf.DUMMYFUNCTION("""COMPUTED_VALUE"""),"U.S. Consulate General Hyderabad")</f>
        <v>U.S. Consulate General Hyderabad</v>
      </c>
      <c r="D1092" s="59" t="str">
        <f>IFERROR(__xludf.DUMMYFUNCTION("""COMPUTED_VALUE"""),"Facebook")</f>
        <v>Facebook</v>
      </c>
      <c r="E1092" s="60" t="str">
        <f>IFERROR(__xludf.DUMMYFUNCTION("""COMPUTED_VALUE"""),"https://www.facebook.com/usconsulategeneralhyderabad/")</f>
        <v>https://www.facebook.com/usconsulategeneralhyderabad/</v>
      </c>
    </row>
    <row r="1093">
      <c r="A1093" s="59" t="str">
        <f>IFERROR(__xludf.DUMMYFUNCTION("""COMPUTED_VALUE"""),"SCA")</f>
        <v>SCA</v>
      </c>
      <c r="B1093" s="59" t="str">
        <f>IFERROR(__xludf.DUMMYFUNCTION("""COMPUTED_VALUE"""),"India")</f>
        <v>India</v>
      </c>
      <c r="C1093" s="59" t="str">
        <f>IFERROR(__xludf.DUMMYFUNCTION("""COMPUTED_VALUE"""),"U.S. Consulate General Hyderabad")</f>
        <v>U.S. Consulate General Hyderabad</v>
      </c>
      <c r="D1093" s="59" t="str">
        <f>IFERROR(__xludf.DUMMYFUNCTION("""COMPUTED_VALUE"""),"Instagram")</f>
        <v>Instagram</v>
      </c>
      <c r="E1093" s="60" t="str">
        <f>IFERROR(__xludf.DUMMYFUNCTION("""COMPUTED_VALUE"""),"https://www.instagram.com/uscghyderabad")</f>
        <v>https://www.instagram.com/uscghyderabad</v>
      </c>
    </row>
    <row r="1094">
      <c r="A1094" s="59" t="str">
        <f>IFERROR(__xludf.DUMMYFUNCTION("""COMPUTED_VALUE"""),"SCA")</f>
        <v>SCA</v>
      </c>
      <c r="B1094" s="59" t="str">
        <f>IFERROR(__xludf.DUMMYFUNCTION("""COMPUTED_VALUE"""),"India")</f>
        <v>India</v>
      </c>
      <c r="C1094" s="59" t="str">
        <f>IFERROR(__xludf.DUMMYFUNCTION("""COMPUTED_VALUE"""),"U.S. Consulate General Hyderabad")</f>
        <v>U.S. Consulate General Hyderabad</v>
      </c>
      <c r="D1094" s="59" t="str">
        <f>IFERROR(__xludf.DUMMYFUNCTION("""COMPUTED_VALUE"""),"X")</f>
        <v>X</v>
      </c>
      <c r="E1094" s="60" t="str">
        <f>IFERROR(__xludf.DUMMYFUNCTION("""COMPUTED_VALUE"""),"https://x.com/USAndHyderabad")</f>
        <v>https://x.com/USAndHyderabad</v>
      </c>
    </row>
    <row r="1095">
      <c r="A1095" s="59" t="str">
        <f>IFERROR(__xludf.DUMMYFUNCTION("""COMPUTED_VALUE"""),"SCA")</f>
        <v>SCA</v>
      </c>
      <c r="B1095" s="59" t="str">
        <f>IFERROR(__xludf.DUMMYFUNCTION("""COMPUTED_VALUE"""),"India")</f>
        <v>India</v>
      </c>
      <c r="C1095" s="59" t="str">
        <f>IFERROR(__xludf.DUMMYFUNCTION("""COMPUTED_VALUE"""),"U.S. Consul General Hyderabad")</f>
        <v>U.S. Consul General Hyderabad</v>
      </c>
      <c r="D1095" s="59" t="str">
        <f>IFERROR(__xludf.DUMMYFUNCTION("""COMPUTED_VALUE"""),"X")</f>
        <v>X</v>
      </c>
      <c r="E1095" s="60" t="str">
        <f>IFERROR(__xludf.DUMMYFUNCTION("""COMPUTED_VALUE"""),"https://x.com/USCGHyderabad")</f>
        <v>https://x.com/USCGHyderabad</v>
      </c>
    </row>
    <row r="1096">
      <c r="A1096" s="59" t="str">
        <f>IFERROR(__xludf.DUMMYFUNCTION("""COMPUTED_VALUE"""),"SCA")</f>
        <v>SCA</v>
      </c>
      <c r="B1096" s="59" t="str">
        <f>IFERROR(__xludf.DUMMYFUNCTION("""COMPUTED_VALUE"""),"India")</f>
        <v>India</v>
      </c>
      <c r="C1096" s="59" t="str">
        <f>IFERROR(__xludf.DUMMYFUNCTION("""COMPUTED_VALUE"""),"U.S. Consulate General Hyderabad")</f>
        <v>U.S. Consulate General Hyderabad</v>
      </c>
      <c r="D1096" s="59" t="str">
        <f>IFERROR(__xludf.DUMMYFUNCTION("""COMPUTED_VALUE"""),"YouTube")</f>
        <v>YouTube</v>
      </c>
      <c r="E1096" s="60" t="str">
        <f>IFERROR(__xludf.DUMMYFUNCTION("""COMPUTED_VALUE"""),"youtube.com/user/USConsulateHyderabad")</f>
        <v>youtube.com/user/USConsulateHyderabad</v>
      </c>
    </row>
    <row r="1097">
      <c r="A1097" s="59" t="str">
        <f>IFERROR(__xludf.DUMMYFUNCTION("""COMPUTED_VALUE"""),"SCA")</f>
        <v>SCA</v>
      </c>
      <c r="B1097" s="59" t="str">
        <f>IFERROR(__xludf.DUMMYFUNCTION("""COMPUTED_VALUE"""),"India")</f>
        <v>India</v>
      </c>
      <c r="C1097" s="59" t="str">
        <f>IFERROR(__xludf.DUMMYFUNCTION("""COMPUTED_VALUE"""),"U.S. Consulate General Kolkata")</f>
        <v>U.S. Consulate General Kolkata</v>
      </c>
      <c r="D1097" s="59" t="str">
        <f>IFERROR(__xludf.DUMMYFUNCTION("""COMPUTED_VALUE"""),"Facebook")</f>
        <v>Facebook</v>
      </c>
      <c r="E1097" s="60" t="str">
        <f>IFERROR(__xludf.DUMMYFUNCTION("""COMPUTED_VALUE"""),"https://www.facebook.com/Kolkata.usconsulate/")</f>
        <v>https://www.facebook.com/Kolkata.usconsulate/</v>
      </c>
    </row>
    <row r="1098">
      <c r="A1098" s="59" t="str">
        <f>IFERROR(__xludf.DUMMYFUNCTION("""COMPUTED_VALUE"""),"SCA")</f>
        <v>SCA</v>
      </c>
      <c r="B1098" s="59" t="str">
        <f>IFERROR(__xludf.DUMMYFUNCTION("""COMPUTED_VALUE"""),"India")</f>
        <v>India</v>
      </c>
      <c r="C1098" s="59" t="str">
        <f>IFERROR(__xludf.DUMMYFUNCTION("""COMPUTED_VALUE"""),"U.S. Consulate General Kolkata")</f>
        <v>U.S. Consulate General Kolkata</v>
      </c>
      <c r="D1098" s="59" t="str">
        <f>IFERROR(__xludf.DUMMYFUNCTION("""COMPUTED_VALUE"""),"Instagram")</f>
        <v>Instagram</v>
      </c>
      <c r="E1098" s="60" t="str">
        <f>IFERROR(__xludf.DUMMYFUNCTION("""COMPUTED_VALUE"""),"https://www.instagram.com/usandkolkata")</f>
        <v>https://www.instagram.com/usandkolkata</v>
      </c>
    </row>
    <row r="1099">
      <c r="A1099" s="59" t="str">
        <f>IFERROR(__xludf.DUMMYFUNCTION("""COMPUTED_VALUE"""),"SCA")</f>
        <v>SCA</v>
      </c>
      <c r="B1099" s="59" t="str">
        <f>IFERROR(__xludf.DUMMYFUNCTION("""COMPUTED_VALUE"""),"India")</f>
        <v>India</v>
      </c>
      <c r="C1099" s="59" t="str">
        <f>IFERROR(__xludf.DUMMYFUNCTION("""COMPUTED_VALUE"""),"U.S. Consulate General Kolkata")</f>
        <v>U.S. Consulate General Kolkata</v>
      </c>
      <c r="D1099" s="59" t="str">
        <f>IFERROR(__xludf.DUMMYFUNCTION("""COMPUTED_VALUE"""),"YouTube")</f>
        <v>YouTube</v>
      </c>
      <c r="E1099" s="60" t="str">
        <f>IFERROR(__xludf.DUMMYFUNCTION("""COMPUTED_VALUE"""),"https://www.youtube.com/user/AmCenterKolkata")</f>
        <v>https://www.youtube.com/user/AmCenterKolkata</v>
      </c>
    </row>
    <row r="1100">
      <c r="A1100" s="59" t="str">
        <f>IFERROR(__xludf.DUMMYFUNCTION("""COMPUTED_VALUE"""),"SCA")</f>
        <v>SCA</v>
      </c>
      <c r="B1100" s="59" t="str">
        <f>IFERROR(__xludf.DUMMYFUNCTION("""COMPUTED_VALUE"""),"India")</f>
        <v>India</v>
      </c>
      <c r="C1100" s="59" t="str">
        <f>IFERROR(__xludf.DUMMYFUNCTION("""COMPUTED_VALUE"""),"U.S. Consulate General Kolkata")</f>
        <v>U.S. Consulate General Kolkata</v>
      </c>
      <c r="D1100" s="59" t="str">
        <f>IFERROR(__xludf.DUMMYFUNCTION("""COMPUTED_VALUE"""),"X")</f>
        <v>X</v>
      </c>
      <c r="E1100" s="60" t="str">
        <f>IFERROR(__xludf.DUMMYFUNCTION("""COMPUTED_VALUE"""),"https://x.com/USAndKolkata")</f>
        <v>https://x.com/USAndKolkata</v>
      </c>
    </row>
    <row r="1101">
      <c r="A1101" s="59" t="str">
        <f>IFERROR(__xludf.DUMMYFUNCTION("""COMPUTED_VALUE"""),"SCA")</f>
        <v>SCA</v>
      </c>
      <c r="B1101" s="59" t="str">
        <f>IFERROR(__xludf.DUMMYFUNCTION("""COMPUTED_VALUE"""),"India")</f>
        <v>India</v>
      </c>
      <c r="C1101" s="59" t="str">
        <f>IFERROR(__xludf.DUMMYFUNCTION("""COMPUTED_VALUE"""),"U.S. Consulate General Mumbai")</f>
        <v>U.S. Consulate General Mumbai</v>
      </c>
      <c r="D1101" s="59" t="str">
        <f>IFERROR(__xludf.DUMMYFUNCTION("""COMPUTED_VALUE"""),"Facebook")</f>
        <v>Facebook</v>
      </c>
      <c r="E1101" s="60" t="str">
        <f>IFERROR(__xludf.DUMMYFUNCTION("""COMPUTED_VALUE"""),"https://www.facebook.com/Mumbai.usconsulate/")</f>
        <v>https://www.facebook.com/Mumbai.usconsulate/</v>
      </c>
    </row>
    <row r="1102">
      <c r="A1102" s="59" t="str">
        <f>IFERROR(__xludf.DUMMYFUNCTION("""COMPUTED_VALUE"""),"SCA")</f>
        <v>SCA</v>
      </c>
      <c r="B1102" s="59" t="str">
        <f>IFERROR(__xludf.DUMMYFUNCTION("""COMPUTED_VALUE"""),"India")</f>
        <v>India</v>
      </c>
      <c r="C1102" s="59" t="str">
        <f>IFERROR(__xludf.DUMMYFUNCTION("""COMPUTED_VALUE"""),"U.S. Consulate General Mumbai")</f>
        <v>U.S. Consulate General Mumbai</v>
      </c>
      <c r="D1102" s="59" t="str">
        <f>IFERROR(__xludf.DUMMYFUNCTION("""COMPUTED_VALUE"""),"Instagram")</f>
        <v>Instagram</v>
      </c>
      <c r="E1102" s="60" t="str">
        <f>IFERROR(__xludf.DUMMYFUNCTION("""COMPUTED_VALUE"""),"https://www.instagram.com/usconsulategeneralmumbai")</f>
        <v>https://www.instagram.com/usconsulategeneralmumbai</v>
      </c>
    </row>
    <row r="1103">
      <c r="A1103" s="59" t="str">
        <f>IFERROR(__xludf.DUMMYFUNCTION("""COMPUTED_VALUE"""),"SCA")</f>
        <v>SCA</v>
      </c>
      <c r="B1103" s="59" t="str">
        <f>IFERROR(__xludf.DUMMYFUNCTION("""COMPUTED_VALUE"""),"India")</f>
        <v>India</v>
      </c>
      <c r="C1103" s="59" t="str">
        <f>IFERROR(__xludf.DUMMYFUNCTION("""COMPUTED_VALUE"""),"U.S. Consulate General Mumbai")</f>
        <v>U.S. Consulate General Mumbai</v>
      </c>
      <c r="D1103" s="59" t="str">
        <f>IFERROR(__xludf.DUMMYFUNCTION("""COMPUTED_VALUE"""),"X")</f>
        <v>X</v>
      </c>
      <c r="E1103" s="60" t="str">
        <f>IFERROR(__xludf.DUMMYFUNCTION("""COMPUTED_VALUE"""),"https://x.com/USAndMumbai")</f>
        <v>https://x.com/USAndMumbai</v>
      </c>
    </row>
    <row r="1104">
      <c r="A1104" s="59" t="str">
        <f>IFERROR(__xludf.DUMMYFUNCTION("""COMPUTED_VALUE"""),"SCA")</f>
        <v>SCA</v>
      </c>
      <c r="B1104" s="59" t="str">
        <f>IFERROR(__xludf.DUMMYFUNCTION("""COMPUTED_VALUE"""),"India")</f>
        <v>India</v>
      </c>
      <c r="C1104" s="59" t="str">
        <f>IFERROR(__xludf.DUMMYFUNCTION("""COMPUTED_VALUE"""),"U.S. Consulate General Mumbai")</f>
        <v>U.S. Consulate General Mumbai</v>
      </c>
      <c r="D1104" s="59" t="str">
        <f>IFERROR(__xludf.DUMMYFUNCTION("""COMPUTED_VALUE"""),"LinkedIn")</f>
        <v>LinkedIn</v>
      </c>
      <c r="E1104" s="60" t="str">
        <f>IFERROR(__xludf.DUMMYFUNCTION("""COMPUTED_VALUE"""),"https://www.linkedin.com/company/u-s-consulate-general-mumbai/")</f>
        <v>https://www.linkedin.com/company/u-s-consulate-general-mumbai/</v>
      </c>
    </row>
    <row r="1105">
      <c r="A1105" s="59" t="str">
        <f>IFERROR(__xludf.DUMMYFUNCTION("""COMPUTED_VALUE"""),"SCA")</f>
        <v>SCA</v>
      </c>
      <c r="B1105" s="59" t="str">
        <f>IFERROR(__xludf.DUMMYFUNCTION("""COMPUTED_VALUE"""),"India")</f>
        <v>India</v>
      </c>
      <c r="C1105" s="59" t="str">
        <f>IFERROR(__xludf.DUMMYFUNCTION("""COMPUTED_VALUE"""),"U.S. Consulate General Mumbai")</f>
        <v>U.S. Consulate General Mumbai</v>
      </c>
      <c r="D1105" s="59" t="str">
        <f>IFERROR(__xludf.DUMMYFUNCTION("""COMPUTED_VALUE"""),"Flickr")</f>
        <v>Flickr</v>
      </c>
      <c r="E1105" s="60" t="str">
        <f>IFERROR(__xludf.DUMMYFUNCTION("""COMPUTED_VALUE"""),"https://www.flickr.com/photos/usconsulatemumbai/sets")</f>
        <v>https://www.flickr.com/photos/usconsulatemumbai/sets</v>
      </c>
    </row>
    <row r="1106">
      <c r="A1106" s="59" t="str">
        <f>IFERROR(__xludf.DUMMYFUNCTION("""COMPUTED_VALUE"""),"SCA")</f>
        <v>SCA</v>
      </c>
      <c r="B1106" s="59" t="str">
        <f>IFERROR(__xludf.DUMMYFUNCTION("""COMPUTED_VALUE"""),"India")</f>
        <v>India</v>
      </c>
      <c r="C1106" s="59" t="str">
        <f>IFERROR(__xludf.DUMMYFUNCTION("""COMPUTED_VALUE"""),"U.S. Consulate General Mumbai")</f>
        <v>U.S. Consulate General Mumbai</v>
      </c>
      <c r="D1106" s="59" t="str">
        <f>IFERROR(__xludf.DUMMYFUNCTION("""COMPUTED_VALUE"""),"YouTube")</f>
        <v>YouTube</v>
      </c>
      <c r="E1106" s="60" t="str">
        <f>IFERROR(__xludf.DUMMYFUNCTION("""COMPUTED_VALUE"""),"https://www.youtube.com/user/usconsulatemumbai")</f>
        <v>https://www.youtube.com/user/usconsulatemumbai</v>
      </c>
    </row>
    <row r="1107">
      <c r="A1107" s="59" t="str">
        <f>IFERROR(__xludf.DUMMYFUNCTION("""COMPUTED_VALUE"""),"SCA")</f>
        <v>SCA</v>
      </c>
      <c r="B1107" s="59" t="str">
        <f>IFERROR(__xludf.DUMMYFUNCTION("""COMPUTED_VALUE"""),"India")</f>
        <v>India</v>
      </c>
      <c r="C1107" s="59" t="str">
        <f>IFERROR(__xludf.DUMMYFUNCTION("""COMPUTED_VALUE"""),"U.S. Embassy New Delhi")</f>
        <v>U.S. Embassy New Delhi</v>
      </c>
      <c r="D1107" s="59" t="str">
        <f>IFERROR(__xludf.DUMMYFUNCTION("""COMPUTED_VALUE"""),"Facebook")</f>
        <v>Facebook</v>
      </c>
      <c r="E1107" s="60" t="str">
        <f>IFERROR(__xludf.DUMMYFUNCTION("""COMPUTED_VALUE"""),"https://www.facebook.com/India.usembassy/")</f>
        <v>https://www.facebook.com/India.usembassy/</v>
      </c>
    </row>
    <row r="1108">
      <c r="A1108" s="59" t="str">
        <f>IFERROR(__xludf.DUMMYFUNCTION("""COMPUTED_VALUE"""),"SCA")</f>
        <v>SCA</v>
      </c>
      <c r="B1108" s="59" t="str">
        <f>IFERROR(__xludf.DUMMYFUNCTION("""COMPUTED_VALUE"""),"India")</f>
        <v>India</v>
      </c>
      <c r="C1108" s="59" t="str">
        <f>IFERROR(__xludf.DUMMYFUNCTION("""COMPUTED_VALUE"""),"U.S. Embassy New Delhi")</f>
        <v>U.S. Embassy New Delhi</v>
      </c>
      <c r="D1108" s="59" t="str">
        <f>IFERROR(__xludf.DUMMYFUNCTION("""COMPUTED_VALUE"""),"Instagram")</f>
        <v>Instagram</v>
      </c>
      <c r="E1108" s="60" t="str">
        <f>IFERROR(__xludf.DUMMYFUNCTION("""COMPUTED_VALUE"""),"https://www.instagram.com/usembassyindia")</f>
        <v>https://www.instagram.com/usembassyindia</v>
      </c>
    </row>
    <row r="1109">
      <c r="A1109" s="59" t="str">
        <f>IFERROR(__xludf.DUMMYFUNCTION("""COMPUTED_VALUE"""),"SCA")</f>
        <v>SCA</v>
      </c>
      <c r="B1109" s="59" t="str">
        <f>IFERROR(__xludf.DUMMYFUNCTION("""COMPUTED_VALUE"""),"India")</f>
        <v>India</v>
      </c>
      <c r="C1109" s="59" t="str">
        <f>IFERROR(__xludf.DUMMYFUNCTION("""COMPUTED_VALUE"""),"U.S. Embassy New Delhi")</f>
        <v>U.S. Embassy New Delhi</v>
      </c>
      <c r="D1109" s="59" t="str">
        <f>IFERROR(__xludf.DUMMYFUNCTION("""COMPUTED_VALUE"""),"X")</f>
        <v>X</v>
      </c>
      <c r="E1109" s="60" t="str">
        <f>IFERROR(__xludf.DUMMYFUNCTION("""COMPUTED_VALUE"""),"https://x.com/USAndIndia")</f>
        <v>https://x.com/USAndIndia</v>
      </c>
    </row>
    <row r="1110">
      <c r="A1110" s="59" t="str">
        <f>IFERROR(__xludf.DUMMYFUNCTION("""COMPUTED_VALUE"""),"SCA")</f>
        <v>SCA</v>
      </c>
      <c r="B1110" s="59" t="str">
        <f>IFERROR(__xludf.DUMMYFUNCTION("""COMPUTED_VALUE"""),"India")</f>
        <v>India</v>
      </c>
      <c r="C1110" s="59" t="str">
        <f>IFERROR(__xludf.DUMMYFUNCTION("""COMPUTED_VALUE"""),"U.S. Embassy New Delhi")</f>
        <v>U.S. Embassy New Delhi</v>
      </c>
      <c r="D1110" s="59" t="str">
        <f>IFERROR(__xludf.DUMMYFUNCTION("""COMPUTED_VALUE"""),"Flickr")</f>
        <v>Flickr</v>
      </c>
      <c r="E1110" s="60" t="str">
        <f>IFERROR(__xludf.DUMMYFUNCTION("""COMPUTED_VALUE"""),"https://www.flickr.com/photos/usembassynewdelhi/")</f>
        <v>https://www.flickr.com/photos/usembassynewdelhi/</v>
      </c>
    </row>
    <row r="1111">
      <c r="A1111" s="59" t="str">
        <f>IFERROR(__xludf.DUMMYFUNCTION("""COMPUTED_VALUE"""),"SCA")</f>
        <v>SCA</v>
      </c>
      <c r="B1111" s="59" t="str">
        <f>IFERROR(__xludf.DUMMYFUNCTION("""COMPUTED_VALUE"""),"India")</f>
        <v>India</v>
      </c>
      <c r="C1111" s="59" t="str">
        <f>IFERROR(__xludf.DUMMYFUNCTION("""COMPUTED_VALUE"""),"U.S. Embassy New Delhi")</f>
        <v>U.S. Embassy New Delhi</v>
      </c>
      <c r="D1111" s="59" t="str">
        <f>IFERROR(__xludf.DUMMYFUNCTION("""COMPUTED_VALUE"""),"YouTube")</f>
        <v>YouTube</v>
      </c>
      <c r="E1111" s="60" t="str">
        <f>IFERROR(__xludf.DUMMYFUNCTION("""COMPUTED_VALUE"""),"https://www.youtube.com/@USEmbassyNewDelhi")</f>
        <v>https://www.youtube.com/@USEmbassyNewDelhi</v>
      </c>
    </row>
    <row r="1112">
      <c r="A1112" s="59" t="str">
        <f>IFERROR(__xludf.DUMMYFUNCTION("""COMPUTED_VALUE"""),"SCA")</f>
        <v>SCA</v>
      </c>
      <c r="B1112" s="59" t="str">
        <f>IFERROR(__xludf.DUMMYFUNCTION("""COMPUTED_VALUE"""),"Kazakhstan")</f>
        <v>Kazakhstan</v>
      </c>
      <c r="C1112" s="59" t="str">
        <f>IFERROR(__xludf.DUMMYFUNCTION("""COMPUTED_VALUE"""),"U.S. Consulate General Almaty")</f>
        <v>U.S. Consulate General Almaty</v>
      </c>
      <c r="D1112" s="59" t="str">
        <f>IFERROR(__xludf.DUMMYFUNCTION("""COMPUTED_VALUE"""),"Facebook")</f>
        <v>Facebook</v>
      </c>
      <c r="E1112" s="60" t="str">
        <f>IFERROR(__xludf.DUMMYFUNCTION("""COMPUTED_VALUE"""),"https://www.facebook.com/uscgalmaty/")</f>
        <v>https://www.facebook.com/uscgalmaty/</v>
      </c>
    </row>
    <row r="1113">
      <c r="A1113" s="59" t="str">
        <f>IFERROR(__xludf.DUMMYFUNCTION("""COMPUTED_VALUE"""),"SCA")</f>
        <v>SCA</v>
      </c>
      <c r="B1113" s="59" t="str">
        <f>IFERROR(__xludf.DUMMYFUNCTION("""COMPUTED_VALUE"""),"Kazakhstan")</f>
        <v>Kazakhstan</v>
      </c>
      <c r="C1113" s="59" t="str">
        <f>IFERROR(__xludf.DUMMYFUNCTION("""COMPUTED_VALUE"""),"U.S. Consulate General Almaty")</f>
        <v>U.S. Consulate General Almaty</v>
      </c>
      <c r="D1113" s="59" t="str">
        <f>IFERROR(__xludf.DUMMYFUNCTION("""COMPUTED_VALUE"""),"Instagram")</f>
        <v>Instagram</v>
      </c>
      <c r="E1113" s="60" t="str">
        <f>IFERROR(__xludf.DUMMYFUNCTION("""COMPUTED_VALUE"""),"https://www.instagram.com/uscgalmaty")</f>
        <v>https://www.instagram.com/uscgalmaty</v>
      </c>
    </row>
    <row r="1114">
      <c r="A1114" s="59" t="str">
        <f>IFERROR(__xludf.DUMMYFUNCTION("""COMPUTED_VALUE"""),"SCA")</f>
        <v>SCA</v>
      </c>
      <c r="B1114" s="59" t="str">
        <f>IFERROR(__xludf.DUMMYFUNCTION("""COMPUTED_VALUE"""),"Kazakhstan")</f>
        <v>Kazakhstan</v>
      </c>
      <c r="C1114" s="59" t="str">
        <f>IFERROR(__xludf.DUMMYFUNCTION("""COMPUTED_VALUE"""),"U.S. Consulate General Almaty")</f>
        <v>U.S. Consulate General Almaty</v>
      </c>
      <c r="D1114" s="59" t="str">
        <f>IFERROR(__xludf.DUMMYFUNCTION("""COMPUTED_VALUE"""),"X")</f>
        <v>X</v>
      </c>
      <c r="E1114" s="60" t="str">
        <f>IFERROR(__xludf.DUMMYFUNCTION("""COMPUTED_VALUE"""),"https://x.com/USCGAlmaty")</f>
        <v>https://x.com/USCGAlmaty</v>
      </c>
    </row>
    <row r="1115">
      <c r="A1115" s="59" t="str">
        <f>IFERROR(__xludf.DUMMYFUNCTION("""COMPUTED_VALUE"""),"SCA")</f>
        <v>SCA</v>
      </c>
      <c r="B1115" s="59" t="str">
        <f>IFERROR(__xludf.DUMMYFUNCTION("""COMPUTED_VALUE"""),"Kazakhstan")</f>
        <v>Kazakhstan</v>
      </c>
      <c r="C1115" s="59" t="str">
        <f>IFERROR(__xludf.DUMMYFUNCTION("""COMPUTED_VALUE"""),"U.S. Embassy Astana")</f>
        <v>U.S. Embassy Astana</v>
      </c>
      <c r="D1115" s="59" t="str">
        <f>IFERROR(__xludf.DUMMYFUNCTION("""COMPUTED_VALUE"""),"Facebook")</f>
        <v>Facebook</v>
      </c>
      <c r="E1115" s="60" t="str">
        <f>IFERROR(__xludf.DUMMYFUNCTION("""COMPUTED_VALUE"""),"https://www.facebook.com/usinkaz/")</f>
        <v>https://www.facebook.com/usinkaz/</v>
      </c>
    </row>
    <row r="1116">
      <c r="A1116" s="59" t="str">
        <f>IFERROR(__xludf.DUMMYFUNCTION("""COMPUTED_VALUE"""),"SCA")</f>
        <v>SCA</v>
      </c>
      <c r="B1116" s="59" t="str">
        <f>IFERROR(__xludf.DUMMYFUNCTION("""COMPUTED_VALUE"""),"Kazakhstan")</f>
        <v>Kazakhstan</v>
      </c>
      <c r="C1116" s="59" t="str">
        <f>IFERROR(__xludf.DUMMYFUNCTION("""COMPUTED_VALUE"""),"U.S. Embassy Astana")</f>
        <v>U.S. Embassy Astana</v>
      </c>
      <c r="D1116" s="59" t="str">
        <f>IFERROR(__xludf.DUMMYFUNCTION("""COMPUTED_VALUE"""),"Instagram")</f>
        <v>Instagram</v>
      </c>
      <c r="E1116" s="60" t="str">
        <f>IFERROR(__xludf.DUMMYFUNCTION("""COMPUTED_VALUE"""),"https://www.instagram.com/usinkz")</f>
        <v>https://www.instagram.com/usinkz</v>
      </c>
    </row>
    <row r="1117">
      <c r="A1117" s="59" t="str">
        <f>IFERROR(__xludf.DUMMYFUNCTION("""COMPUTED_VALUE"""),"SCA")</f>
        <v>SCA</v>
      </c>
      <c r="B1117" s="59" t="str">
        <f>IFERROR(__xludf.DUMMYFUNCTION("""COMPUTED_VALUE"""),"Kazakhstan")</f>
        <v>Kazakhstan</v>
      </c>
      <c r="C1117" s="59" t="str">
        <f>IFERROR(__xludf.DUMMYFUNCTION("""COMPUTED_VALUE"""),"U.S. Embassy Astana")</f>
        <v>U.S. Embassy Astana</v>
      </c>
      <c r="D1117" s="59" t="str">
        <f>IFERROR(__xludf.DUMMYFUNCTION("""COMPUTED_VALUE"""),"Instagram")</f>
        <v>Instagram</v>
      </c>
      <c r="E1117" s="60" t="str">
        <f>IFERROR(__xludf.DUMMYFUNCTION("""COMPUTED_VALUE"""),"https://www.instagram.com/usambkz/")</f>
        <v>https://www.instagram.com/usambkz/</v>
      </c>
    </row>
    <row r="1118">
      <c r="A1118" s="59" t="str">
        <f>IFERROR(__xludf.DUMMYFUNCTION("""COMPUTED_VALUE"""),"SCA")</f>
        <v>SCA</v>
      </c>
      <c r="B1118" s="59" t="str">
        <f>IFERROR(__xludf.DUMMYFUNCTION("""COMPUTED_VALUE"""),"Kazakhstan")</f>
        <v>Kazakhstan</v>
      </c>
      <c r="C1118" s="59" t="str">
        <f>IFERROR(__xludf.DUMMYFUNCTION("""COMPUTED_VALUE"""),"U.S. Embassy Astana")</f>
        <v>U.S. Embassy Astana</v>
      </c>
      <c r="D1118" s="59" t="str">
        <f>IFERROR(__xludf.DUMMYFUNCTION("""COMPUTED_VALUE"""),"X")</f>
        <v>X</v>
      </c>
      <c r="E1118" s="60" t="str">
        <f>IFERROR(__xludf.DUMMYFUNCTION("""COMPUTED_VALUE"""),"https://x.com/USEmbassyKAZ")</f>
        <v>https://x.com/USEmbassyKAZ</v>
      </c>
    </row>
    <row r="1119">
      <c r="A1119" s="59" t="str">
        <f>IFERROR(__xludf.DUMMYFUNCTION("""COMPUTED_VALUE"""),"SCA")</f>
        <v>SCA</v>
      </c>
      <c r="B1119" s="59" t="str">
        <f>IFERROR(__xludf.DUMMYFUNCTION("""COMPUTED_VALUE"""),"Kazakhstan")</f>
        <v>Kazakhstan</v>
      </c>
      <c r="C1119" s="59" t="str">
        <f>IFERROR(__xludf.DUMMYFUNCTION("""COMPUTED_VALUE"""),"U.S. Embassy Astana")</f>
        <v>U.S. Embassy Astana</v>
      </c>
      <c r="D1119" s="59" t="str">
        <f>IFERROR(__xludf.DUMMYFUNCTION("""COMPUTED_VALUE"""),"YouTube")</f>
        <v>YouTube</v>
      </c>
      <c r="E1119" s="60" t="str">
        <f>IFERROR(__xludf.DUMMYFUNCTION("""COMPUTED_VALUE"""),"https://www.youtube.com/user/usembassyastana")</f>
        <v>https://www.youtube.com/user/usembassyastana</v>
      </c>
    </row>
    <row r="1120">
      <c r="A1120" s="59" t="str">
        <f>IFERROR(__xludf.DUMMYFUNCTION("""COMPUTED_VALUE"""),"SCA")</f>
        <v>SCA</v>
      </c>
      <c r="B1120" s="59" t="str">
        <f>IFERROR(__xludf.DUMMYFUNCTION("""COMPUTED_VALUE"""),"Kyrgyzstan")</f>
        <v>Kyrgyzstan</v>
      </c>
      <c r="C1120" s="59" t="str">
        <f>IFERROR(__xludf.DUMMYFUNCTION("""COMPUTED_VALUE"""),"U.S. Embassy Bishkek")</f>
        <v>U.S. Embassy Bishkek</v>
      </c>
      <c r="D1120" s="59" t="str">
        <f>IFERROR(__xludf.DUMMYFUNCTION("""COMPUTED_VALUE"""),"Facebook")</f>
        <v>Facebook</v>
      </c>
      <c r="E1120" s="60" t="str">
        <f>IFERROR(__xludf.DUMMYFUNCTION("""COMPUTED_VALUE"""),"https://www.facebook.com/usembassy.bishkek/")</f>
        <v>https://www.facebook.com/usembassy.bishkek/</v>
      </c>
    </row>
    <row r="1121">
      <c r="A1121" s="59" t="str">
        <f>IFERROR(__xludf.DUMMYFUNCTION("""COMPUTED_VALUE"""),"SCA")</f>
        <v>SCA</v>
      </c>
      <c r="B1121" s="59" t="str">
        <f>IFERROR(__xludf.DUMMYFUNCTION("""COMPUTED_VALUE"""),"Kyrgyzstan")</f>
        <v>Kyrgyzstan</v>
      </c>
      <c r="C1121" s="59" t="str">
        <f>IFERROR(__xludf.DUMMYFUNCTION("""COMPUTED_VALUE"""),"U.S. Embassy Bishkek")</f>
        <v>U.S. Embassy Bishkek</v>
      </c>
      <c r="D1121" s="59" t="str">
        <f>IFERROR(__xludf.DUMMYFUNCTION("""COMPUTED_VALUE"""),"Instagram")</f>
        <v>Instagram</v>
      </c>
      <c r="E1121" s="60" t="str">
        <f>IFERROR(__xludf.DUMMYFUNCTION("""COMPUTED_VALUE"""),"https://www.instagram.com/usembassybishkek")</f>
        <v>https://www.instagram.com/usembassybishkek</v>
      </c>
    </row>
    <row r="1122">
      <c r="A1122" s="59" t="str">
        <f>IFERROR(__xludf.DUMMYFUNCTION("""COMPUTED_VALUE"""),"SCA")</f>
        <v>SCA</v>
      </c>
      <c r="B1122" s="59" t="str">
        <f>IFERROR(__xludf.DUMMYFUNCTION("""COMPUTED_VALUE"""),"Kyrgyzstan")</f>
        <v>Kyrgyzstan</v>
      </c>
      <c r="C1122" s="59" t="str">
        <f>IFERROR(__xludf.DUMMYFUNCTION("""COMPUTED_VALUE"""),"U.S. Embassy Bishkek")</f>
        <v>U.S. Embassy Bishkek</v>
      </c>
      <c r="D1122" s="59" t="str">
        <f>IFERROR(__xludf.DUMMYFUNCTION("""COMPUTED_VALUE"""),"X")</f>
        <v>X</v>
      </c>
      <c r="E1122" s="60" t="str">
        <f>IFERROR(__xludf.DUMMYFUNCTION("""COMPUTED_VALUE"""),"https://x.com/USEmbassyKG")</f>
        <v>https://x.com/USEmbassyKG</v>
      </c>
    </row>
    <row r="1123">
      <c r="A1123" s="59" t="str">
        <f>IFERROR(__xludf.DUMMYFUNCTION("""COMPUTED_VALUE"""),"SCA")</f>
        <v>SCA</v>
      </c>
      <c r="B1123" s="59" t="str">
        <f>IFERROR(__xludf.DUMMYFUNCTION("""COMPUTED_VALUE"""),"Kyrgyzstan")</f>
        <v>Kyrgyzstan</v>
      </c>
      <c r="C1123" s="59" t="str">
        <f>IFERROR(__xludf.DUMMYFUNCTION("""COMPUTED_VALUE"""),"U.S. Embassy Bishkek")</f>
        <v>U.S. Embassy Bishkek</v>
      </c>
      <c r="D1123" s="59" t="str">
        <f>IFERROR(__xludf.DUMMYFUNCTION("""COMPUTED_VALUE"""),"Telegram")</f>
        <v>Telegram</v>
      </c>
      <c r="E1123" s="60" t="str">
        <f>IFERROR(__xludf.DUMMYFUNCTION("""COMPUTED_VALUE"""),"https://t.me/USEmbassyKG")</f>
        <v>https://t.me/USEmbassyKG</v>
      </c>
    </row>
    <row r="1124">
      <c r="A1124" s="59" t="str">
        <f>IFERROR(__xludf.DUMMYFUNCTION("""COMPUTED_VALUE"""),"SCA")</f>
        <v>SCA</v>
      </c>
      <c r="B1124" s="59" t="str">
        <f>IFERROR(__xludf.DUMMYFUNCTION("""COMPUTED_VALUE"""),"Kyrgyzstan")</f>
        <v>Kyrgyzstan</v>
      </c>
      <c r="C1124" s="59" t="str">
        <f>IFERROR(__xludf.DUMMYFUNCTION("""COMPUTED_VALUE"""),"U.S. Embassy Bishkek")</f>
        <v>U.S. Embassy Bishkek</v>
      </c>
      <c r="D1124" s="59" t="str">
        <f>IFERROR(__xludf.DUMMYFUNCTION("""COMPUTED_VALUE"""),"YouTube")</f>
        <v>YouTube</v>
      </c>
      <c r="E1124" s="60" t="str">
        <f>IFERROR(__xludf.DUMMYFUNCTION("""COMPUTED_VALUE"""),"https://www.youtube.com/user/USEmbassyBishkek")</f>
        <v>https://www.youtube.com/user/USEmbassyBishkek</v>
      </c>
    </row>
    <row r="1125">
      <c r="A1125" s="59" t="str">
        <f>IFERROR(__xludf.DUMMYFUNCTION("""COMPUTED_VALUE"""),"SCA")</f>
        <v>SCA</v>
      </c>
      <c r="B1125" s="59" t="str">
        <f>IFERROR(__xludf.DUMMYFUNCTION("""COMPUTED_VALUE"""),"Maldives")</f>
        <v>Maldives</v>
      </c>
      <c r="C1125" s="59" t="str">
        <f>IFERROR(__xludf.DUMMYFUNCTION("""COMPUTED_VALUE"""),"U.S. Mission to Maldives")</f>
        <v>U.S. Mission to Maldives</v>
      </c>
      <c r="D1125" s="59" t="str">
        <f>IFERROR(__xludf.DUMMYFUNCTION("""COMPUTED_VALUE"""),"X")</f>
        <v>X</v>
      </c>
      <c r="E1125" s="60" t="str">
        <f>IFERROR(__xludf.DUMMYFUNCTION("""COMPUTED_VALUE"""),"https://x.com/USinMaldives")</f>
        <v>https://x.com/USinMaldives</v>
      </c>
    </row>
    <row r="1126">
      <c r="A1126" s="59" t="str">
        <f>IFERROR(__xludf.DUMMYFUNCTION("""COMPUTED_VALUE"""),"SCA")</f>
        <v>SCA</v>
      </c>
      <c r="B1126" s="59" t="str">
        <f>IFERROR(__xludf.DUMMYFUNCTION("""COMPUTED_VALUE"""),"Maldives")</f>
        <v>Maldives</v>
      </c>
      <c r="C1126" s="59" t="str">
        <f>IFERROR(__xludf.DUMMYFUNCTION("""COMPUTED_VALUE"""),"U.S. Mission to Maldives")</f>
        <v>U.S. Mission to Maldives</v>
      </c>
      <c r="D1126" s="59" t="str">
        <f>IFERROR(__xludf.DUMMYFUNCTION("""COMPUTED_VALUE"""),"Facebook")</f>
        <v>Facebook</v>
      </c>
      <c r="E1126" s="60" t="str">
        <f>IFERROR(__xludf.DUMMYFUNCTION("""COMPUTED_VALUE"""),"https://www.facebook.com/USinMV/")</f>
        <v>https://www.facebook.com/USinMV/</v>
      </c>
    </row>
    <row r="1127">
      <c r="A1127" s="59" t="str">
        <f>IFERROR(__xludf.DUMMYFUNCTION("""COMPUTED_VALUE"""),"SCA")</f>
        <v>SCA</v>
      </c>
      <c r="B1127" s="59" t="str">
        <f>IFERROR(__xludf.DUMMYFUNCTION("""COMPUTED_VALUE"""),"Maldives")</f>
        <v>Maldives</v>
      </c>
      <c r="C1127" s="59" t="str">
        <f>IFERROR(__xludf.DUMMYFUNCTION("""COMPUTED_VALUE"""),"U.S. Mission to Maldives")</f>
        <v>U.S. Mission to Maldives</v>
      </c>
      <c r="D1127" s="59" t="str">
        <f>IFERROR(__xludf.DUMMYFUNCTION("""COMPUTED_VALUE"""),"Instagram")</f>
        <v>Instagram</v>
      </c>
      <c r="E1127" s="60" t="str">
        <f>IFERROR(__xludf.DUMMYFUNCTION("""COMPUTED_VALUE"""),"https://www.instagram.com/usinmaldives/")</f>
        <v>https://www.instagram.com/usinmaldives/</v>
      </c>
    </row>
    <row r="1128">
      <c r="A1128" s="59" t="str">
        <f>IFERROR(__xludf.DUMMYFUNCTION("""COMPUTED_VALUE"""),"SCA")</f>
        <v>SCA</v>
      </c>
      <c r="B1128" s="59" t="str">
        <f>IFERROR(__xludf.DUMMYFUNCTION("""COMPUTED_VALUE"""),"Nepal")</f>
        <v>Nepal</v>
      </c>
      <c r="C1128" s="59" t="str">
        <f>IFERROR(__xludf.DUMMYFUNCTION("""COMPUTED_VALUE"""),"U.S. Ambassador to Nepal")</f>
        <v>U.S. Ambassador to Nepal</v>
      </c>
      <c r="D1128" s="59" t="str">
        <f>IFERROR(__xludf.DUMMYFUNCTION("""COMPUTED_VALUE"""),"X")</f>
        <v>X</v>
      </c>
      <c r="E1128" s="60" t="str">
        <f>IFERROR(__xludf.DUMMYFUNCTION("""COMPUTED_VALUE"""),"https://x.com/USAmbNepal")</f>
        <v>https://x.com/USAmbNepal</v>
      </c>
    </row>
    <row r="1129">
      <c r="A1129" s="59" t="str">
        <f>IFERROR(__xludf.DUMMYFUNCTION("""COMPUTED_VALUE"""),"SCA")</f>
        <v>SCA</v>
      </c>
      <c r="B1129" s="59" t="str">
        <f>IFERROR(__xludf.DUMMYFUNCTION("""COMPUTED_VALUE"""),"Nepal")</f>
        <v>Nepal</v>
      </c>
      <c r="C1129" s="59" t="str">
        <f>IFERROR(__xludf.DUMMYFUNCTION("""COMPUTED_VALUE"""),"U.S. Embassy Kathmandu")</f>
        <v>U.S. Embassy Kathmandu</v>
      </c>
      <c r="D1129" s="59" t="str">
        <f>IFERROR(__xludf.DUMMYFUNCTION("""COMPUTED_VALUE"""),"Facebook")</f>
        <v>Facebook</v>
      </c>
      <c r="E1129" s="60" t="str">
        <f>IFERROR(__xludf.DUMMYFUNCTION("""COMPUTED_VALUE"""),"https://www.facebook.com/nepal.usembassy/")</f>
        <v>https://www.facebook.com/nepal.usembassy/</v>
      </c>
    </row>
    <row r="1130">
      <c r="A1130" s="59" t="str">
        <f>IFERROR(__xludf.DUMMYFUNCTION("""COMPUTED_VALUE"""),"SCA")</f>
        <v>SCA</v>
      </c>
      <c r="B1130" s="59" t="str">
        <f>IFERROR(__xludf.DUMMYFUNCTION("""COMPUTED_VALUE"""),"Nepal")</f>
        <v>Nepal</v>
      </c>
      <c r="C1130" s="59" t="str">
        <f>IFERROR(__xludf.DUMMYFUNCTION("""COMPUTED_VALUE"""),"U.S. Embassy Kathmandu")</f>
        <v>U.S. Embassy Kathmandu</v>
      </c>
      <c r="D1130" s="59" t="str">
        <f>IFERROR(__xludf.DUMMYFUNCTION("""COMPUTED_VALUE"""),"Flickr")</f>
        <v>Flickr</v>
      </c>
      <c r="E1130" s="60" t="str">
        <f>IFERROR(__xludf.DUMMYFUNCTION("""COMPUTED_VALUE"""),"https://www.flickr.com/photos/usembassykathmandu")</f>
        <v>https://www.flickr.com/photos/usembassykathmandu</v>
      </c>
    </row>
    <row r="1131">
      <c r="A1131" s="59" t="str">
        <f>IFERROR(__xludf.DUMMYFUNCTION("""COMPUTED_VALUE"""),"SCA")</f>
        <v>SCA</v>
      </c>
      <c r="B1131" s="59" t="str">
        <f>IFERROR(__xludf.DUMMYFUNCTION("""COMPUTED_VALUE"""),"Nepal")</f>
        <v>Nepal</v>
      </c>
      <c r="C1131" s="59" t="str">
        <f>IFERROR(__xludf.DUMMYFUNCTION("""COMPUTED_VALUE"""),"U.S. Embassy Kathmandu")</f>
        <v>U.S. Embassy Kathmandu</v>
      </c>
      <c r="D1131" s="59" t="str">
        <f>IFERROR(__xludf.DUMMYFUNCTION("""COMPUTED_VALUE"""),"Instagram")</f>
        <v>Instagram</v>
      </c>
      <c r="E1131" s="60" t="str">
        <f>IFERROR(__xludf.DUMMYFUNCTION("""COMPUTED_VALUE"""),"https://www.instagram.com/usembassynepal")</f>
        <v>https://www.instagram.com/usembassynepal</v>
      </c>
    </row>
    <row r="1132">
      <c r="A1132" s="59" t="str">
        <f>IFERROR(__xludf.DUMMYFUNCTION("""COMPUTED_VALUE"""),"SCA")</f>
        <v>SCA</v>
      </c>
      <c r="B1132" s="59" t="str">
        <f>IFERROR(__xludf.DUMMYFUNCTION("""COMPUTED_VALUE"""),"Nepal")</f>
        <v>Nepal</v>
      </c>
      <c r="C1132" s="59" t="str">
        <f>IFERROR(__xludf.DUMMYFUNCTION("""COMPUTED_VALUE"""),"U.S. Embassy Kathmandu")</f>
        <v>U.S. Embassy Kathmandu</v>
      </c>
      <c r="D1132" s="59" t="str">
        <f>IFERROR(__xludf.DUMMYFUNCTION("""COMPUTED_VALUE"""),"X")</f>
        <v>X</v>
      </c>
      <c r="E1132" s="60" t="str">
        <f>IFERROR(__xludf.DUMMYFUNCTION("""COMPUTED_VALUE"""),"https://x.com/USEmbassyNepal")</f>
        <v>https://x.com/USEmbassyNepal</v>
      </c>
    </row>
    <row r="1133">
      <c r="A1133" s="59" t="str">
        <f>IFERROR(__xludf.DUMMYFUNCTION("""COMPUTED_VALUE"""),"SCA")</f>
        <v>SCA</v>
      </c>
      <c r="B1133" s="59" t="str">
        <f>IFERROR(__xludf.DUMMYFUNCTION("""COMPUTED_VALUE"""),"Nepal")</f>
        <v>Nepal</v>
      </c>
      <c r="C1133" s="59" t="str">
        <f>IFERROR(__xludf.DUMMYFUNCTION("""COMPUTED_VALUE"""),"U.S. Embassy Kathmandu")</f>
        <v>U.S. Embassy Kathmandu</v>
      </c>
      <c r="D1133" s="59" t="str">
        <f>IFERROR(__xludf.DUMMYFUNCTION("""COMPUTED_VALUE"""),"YouTube")</f>
        <v>YouTube</v>
      </c>
      <c r="E1133" s="60" t="str">
        <f>IFERROR(__xludf.DUMMYFUNCTION("""COMPUTED_VALUE"""),"https://www.youtube.com/user/usembassykathmandu")</f>
        <v>https://www.youtube.com/user/usembassykathmandu</v>
      </c>
    </row>
    <row r="1134">
      <c r="A1134" s="59" t="str">
        <f>IFERROR(__xludf.DUMMYFUNCTION("""COMPUTED_VALUE"""),"SCA")</f>
        <v>SCA</v>
      </c>
      <c r="B1134" s="59" t="str">
        <f>IFERROR(__xludf.DUMMYFUNCTION("""COMPUTED_VALUE"""),"Pakistan")</f>
        <v>Pakistan</v>
      </c>
      <c r="C1134" s="59" t="str">
        <f>IFERROR(__xludf.DUMMYFUNCTION("""COMPUTED_VALUE"""),"U.S. Consulate General Karachi")</f>
        <v>U.S. Consulate General Karachi</v>
      </c>
      <c r="D1134" s="59" t="str">
        <f>IFERROR(__xludf.DUMMYFUNCTION("""COMPUTED_VALUE"""),"Facebook")</f>
        <v>Facebook</v>
      </c>
      <c r="E1134" s="60" t="str">
        <f>IFERROR(__xludf.DUMMYFUNCTION("""COMPUTED_VALUE"""),"https://www.facebook.com/karachi.usconsulate/")</f>
        <v>https://www.facebook.com/karachi.usconsulate/</v>
      </c>
    </row>
    <row r="1135">
      <c r="A1135" s="59" t="str">
        <f>IFERROR(__xludf.DUMMYFUNCTION("""COMPUTED_VALUE"""),"SCA")</f>
        <v>SCA</v>
      </c>
      <c r="B1135" s="59" t="str">
        <f>IFERROR(__xludf.DUMMYFUNCTION("""COMPUTED_VALUE"""),"Pakistan")</f>
        <v>Pakistan</v>
      </c>
      <c r="C1135" s="59" t="str">
        <f>IFERROR(__xludf.DUMMYFUNCTION("""COMPUTED_VALUE"""),"U.S. Consulate General Karachi")</f>
        <v>U.S. Consulate General Karachi</v>
      </c>
      <c r="D1135" s="59" t="str">
        <f>IFERROR(__xludf.DUMMYFUNCTION("""COMPUTED_VALUE"""),"Instagram")</f>
        <v>Instagram</v>
      </c>
      <c r="E1135" s="60" t="str">
        <f>IFERROR(__xludf.DUMMYFUNCTION("""COMPUTED_VALUE"""),"https://www.instagram.com/usconsulate_khi")</f>
        <v>https://www.instagram.com/usconsulate_khi</v>
      </c>
    </row>
    <row r="1136">
      <c r="A1136" s="59" t="str">
        <f>IFERROR(__xludf.DUMMYFUNCTION("""COMPUTED_VALUE"""),"SCA")</f>
        <v>SCA</v>
      </c>
      <c r="B1136" s="59" t="str">
        <f>IFERROR(__xludf.DUMMYFUNCTION("""COMPUTED_VALUE"""),"Pakistan")</f>
        <v>Pakistan</v>
      </c>
      <c r="C1136" s="59" t="str">
        <f>IFERROR(__xludf.DUMMYFUNCTION("""COMPUTED_VALUE"""),"U.S. Consulate General Karachi")</f>
        <v>U.S. Consulate General Karachi</v>
      </c>
      <c r="D1136" s="59" t="str">
        <f>IFERROR(__xludf.DUMMYFUNCTION("""COMPUTED_VALUE"""),"X")</f>
        <v>X</v>
      </c>
      <c r="E1136" s="60" t="str">
        <f>IFERROR(__xludf.DUMMYFUNCTION("""COMPUTED_VALUE"""),"https://x.com/usconsulatekhi")</f>
        <v>https://x.com/usconsulatekhi</v>
      </c>
    </row>
    <row r="1137">
      <c r="A1137" s="59" t="str">
        <f>IFERROR(__xludf.DUMMYFUNCTION("""COMPUTED_VALUE"""),"SCA")</f>
        <v>SCA</v>
      </c>
      <c r="B1137" s="59" t="str">
        <f>IFERROR(__xludf.DUMMYFUNCTION("""COMPUTED_VALUE"""),"Pakistan")</f>
        <v>Pakistan</v>
      </c>
      <c r="C1137" s="59" t="str">
        <f>IFERROR(__xludf.DUMMYFUNCTION("""COMPUTED_VALUE"""),"U.S. Consulate General Karachi")</f>
        <v>U.S. Consulate General Karachi</v>
      </c>
      <c r="D1137" s="59" t="str">
        <f>IFERROR(__xludf.DUMMYFUNCTION("""COMPUTED_VALUE"""),"Flickr")</f>
        <v>Flickr</v>
      </c>
      <c r="E1137" s="60" t="str">
        <f>IFERROR(__xludf.DUMMYFUNCTION("""COMPUTED_VALUE"""),"https://www.flickr.com/photos/usconsulatekhi")</f>
        <v>https://www.flickr.com/photos/usconsulatekhi</v>
      </c>
    </row>
    <row r="1138">
      <c r="A1138" s="59" t="str">
        <f>IFERROR(__xludf.DUMMYFUNCTION("""COMPUTED_VALUE"""),"SCA")</f>
        <v>SCA</v>
      </c>
      <c r="B1138" s="59" t="str">
        <f>IFERROR(__xludf.DUMMYFUNCTION("""COMPUTED_VALUE"""),"Pakistan")</f>
        <v>Pakistan</v>
      </c>
      <c r="C1138" s="59" t="str">
        <f>IFERROR(__xludf.DUMMYFUNCTION("""COMPUTED_VALUE"""),"U.S. Consulate General Karachi")</f>
        <v>U.S. Consulate General Karachi</v>
      </c>
      <c r="D1138" s="59" t="str">
        <f>IFERROR(__xludf.DUMMYFUNCTION("""COMPUTED_VALUE"""),"YouTube")</f>
        <v>YouTube</v>
      </c>
      <c r="E1138" s="60" t="str">
        <f>IFERROR(__xludf.DUMMYFUNCTION("""COMPUTED_VALUE"""),"https://www.youtube.com/user/usconsulatekarachi")</f>
        <v>https://www.youtube.com/user/usconsulatekarachi</v>
      </c>
    </row>
    <row r="1139">
      <c r="A1139" s="59" t="str">
        <f>IFERROR(__xludf.DUMMYFUNCTION("""COMPUTED_VALUE"""),"SCA")</f>
        <v>SCA</v>
      </c>
      <c r="B1139" s="59" t="str">
        <f>IFERROR(__xludf.DUMMYFUNCTION("""COMPUTED_VALUE"""),"Pakistan")</f>
        <v>Pakistan</v>
      </c>
      <c r="C1139" s="59" t="str">
        <f>IFERROR(__xludf.DUMMYFUNCTION("""COMPUTED_VALUE"""),"U.S. Consulate General Lahore")</f>
        <v>U.S. Consulate General Lahore</v>
      </c>
      <c r="D1139" s="59" t="str">
        <f>IFERROR(__xludf.DUMMYFUNCTION("""COMPUTED_VALUE"""),"Facebook")</f>
        <v>Facebook</v>
      </c>
      <c r="E1139" s="60" t="str">
        <f>IFERROR(__xludf.DUMMYFUNCTION("""COMPUTED_VALUE"""),"https://www.facebook.com/lahore.usconsulate/")</f>
        <v>https://www.facebook.com/lahore.usconsulate/</v>
      </c>
    </row>
    <row r="1140">
      <c r="A1140" s="59" t="str">
        <f>IFERROR(__xludf.DUMMYFUNCTION("""COMPUTED_VALUE"""),"SCA")</f>
        <v>SCA</v>
      </c>
      <c r="B1140" s="59" t="str">
        <f>IFERROR(__xludf.DUMMYFUNCTION("""COMPUTED_VALUE"""),"Pakistan")</f>
        <v>Pakistan</v>
      </c>
      <c r="C1140" s="59" t="str">
        <f>IFERROR(__xludf.DUMMYFUNCTION("""COMPUTED_VALUE"""),"U.S. Consulate General Lahore")</f>
        <v>U.S. Consulate General Lahore</v>
      </c>
      <c r="D1140" s="59" t="str">
        <f>IFERROR(__xludf.DUMMYFUNCTION("""COMPUTED_VALUE"""),"Instagram")</f>
        <v>Instagram</v>
      </c>
      <c r="E1140" s="60" t="str">
        <f>IFERROR(__xludf.DUMMYFUNCTION("""COMPUTED_VALUE"""),"https://www.instagram.com/lahore.usconsulate")</f>
        <v>https://www.instagram.com/lahore.usconsulate</v>
      </c>
    </row>
    <row r="1141">
      <c r="A1141" s="59" t="str">
        <f>IFERROR(__xludf.DUMMYFUNCTION("""COMPUTED_VALUE"""),"SCA")</f>
        <v>SCA</v>
      </c>
      <c r="B1141" s="59" t="str">
        <f>IFERROR(__xludf.DUMMYFUNCTION("""COMPUTED_VALUE"""),"Pakistan")</f>
        <v>Pakistan</v>
      </c>
      <c r="C1141" s="59" t="str">
        <f>IFERROR(__xludf.DUMMYFUNCTION("""COMPUTED_VALUE"""),"U.S. Consulate General Lahore")</f>
        <v>U.S. Consulate General Lahore</v>
      </c>
      <c r="D1141" s="59" t="str">
        <f>IFERROR(__xludf.DUMMYFUNCTION("""COMPUTED_VALUE"""),"Flickr")</f>
        <v>Flickr</v>
      </c>
      <c r="E1141" s="60" t="str">
        <f>IFERROR(__xludf.DUMMYFUNCTION("""COMPUTED_VALUE"""),"https://www.flickr.com/photos/uscglahore/")</f>
        <v>https://www.flickr.com/photos/uscglahore/</v>
      </c>
    </row>
    <row r="1142">
      <c r="A1142" s="59" t="str">
        <f>IFERROR(__xludf.DUMMYFUNCTION("""COMPUTED_VALUE"""),"SCA")</f>
        <v>SCA</v>
      </c>
      <c r="B1142" s="59" t="str">
        <f>IFERROR(__xludf.DUMMYFUNCTION("""COMPUTED_VALUE"""),"Pakistan")</f>
        <v>Pakistan</v>
      </c>
      <c r="C1142" s="59" t="str">
        <f>IFERROR(__xludf.DUMMYFUNCTION("""COMPUTED_VALUE"""),"U.S. Consulate General Lahore")</f>
        <v>U.S. Consulate General Lahore</v>
      </c>
      <c r="D1142" s="59" t="str">
        <f>IFERROR(__xludf.DUMMYFUNCTION("""COMPUTED_VALUE"""),"X")</f>
        <v>X</v>
      </c>
      <c r="E1142" s="60" t="str">
        <f>IFERROR(__xludf.DUMMYFUNCTION("""COMPUTED_VALUE"""),"https://x.com/USCGLahore")</f>
        <v>https://x.com/USCGLahore</v>
      </c>
    </row>
    <row r="1143">
      <c r="A1143" s="59" t="str">
        <f>IFERROR(__xludf.DUMMYFUNCTION("""COMPUTED_VALUE"""),"SCA")</f>
        <v>SCA</v>
      </c>
      <c r="B1143" s="59" t="str">
        <f>IFERROR(__xludf.DUMMYFUNCTION("""COMPUTED_VALUE"""),"Pakistan")</f>
        <v>Pakistan</v>
      </c>
      <c r="C1143" s="59" t="str">
        <f>IFERROR(__xludf.DUMMYFUNCTION("""COMPUTED_VALUE"""),"U.S. Consulate General Peshawar")</f>
        <v>U.S. Consulate General Peshawar</v>
      </c>
      <c r="D1143" s="59" t="str">
        <f>IFERROR(__xludf.DUMMYFUNCTION("""COMPUTED_VALUE"""),"Facebook")</f>
        <v>Facebook</v>
      </c>
      <c r="E1143" s="60" t="str">
        <f>IFERROR(__xludf.DUMMYFUNCTION("""COMPUTED_VALUE"""),"https://www.facebook.com/peshawar.usconsulate/")</f>
        <v>https://www.facebook.com/peshawar.usconsulate/</v>
      </c>
    </row>
    <row r="1144">
      <c r="A1144" s="59" t="str">
        <f>IFERROR(__xludf.DUMMYFUNCTION("""COMPUTED_VALUE"""),"SCA")</f>
        <v>SCA</v>
      </c>
      <c r="B1144" s="59" t="str">
        <f>IFERROR(__xludf.DUMMYFUNCTION("""COMPUTED_VALUE"""),"Pakistan")</f>
        <v>Pakistan</v>
      </c>
      <c r="C1144" s="59" t="str">
        <f>IFERROR(__xludf.DUMMYFUNCTION("""COMPUTED_VALUE"""),"U.S. Consulate General Peshawar")</f>
        <v>U.S. Consulate General Peshawar</v>
      </c>
      <c r="D1144" s="59" t="str">
        <f>IFERROR(__xludf.DUMMYFUNCTION("""COMPUTED_VALUE"""),"Instagram")</f>
        <v>Instagram</v>
      </c>
      <c r="E1144" s="60" t="str">
        <f>IFERROR(__xludf.DUMMYFUNCTION("""COMPUTED_VALUE"""),"https://www.instagram.com/uscgpeshawar/")</f>
        <v>https://www.instagram.com/uscgpeshawar/</v>
      </c>
    </row>
    <row r="1145">
      <c r="A1145" s="59" t="str">
        <f>IFERROR(__xludf.DUMMYFUNCTION("""COMPUTED_VALUE"""),"SCA")</f>
        <v>SCA</v>
      </c>
      <c r="B1145" s="59" t="str">
        <f>IFERROR(__xludf.DUMMYFUNCTION("""COMPUTED_VALUE"""),"Pakistan")</f>
        <v>Pakistan</v>
      </c>
      <c r="C1145" s="59" t="str">
        <f>IFERROR(__xludf.DUMMYFUNCTION("""COMPUTED_VALUE"""),"U.S. Consulate General Peshawar")</f>
        <v>U.S. Consulate General Peshawar</v>
      </c>
      <c r="D1145" s="59" t="str">
        <f>IFERROR(__xludf.DUMMYFUNCTION("""COMPUTED_VALUE"""),"X")</f>
        <v>X</v>
      </c>
      <c r="E1145" s="60" t="str">
        <f>IFERROR(__xludf.DUMMYFUNCTION("""COMPUTED_VALUE"""),"https://x.com/USCGPeshawar")</f>
        <v>https://x.com/USCGPeshawar</v>
      </c>
    </row>
    <row r="1146">
      <c r="A1146" s="59" t="str">
        <f>IFERROR(__xludf.DUMMYFUNCTION("""COMPUTED_VALUE"""),"SCA")</f>
        <v>SCA</v>
      </c>
      <c r="B1146" s="59" t="str">
        <f>IFERROR(__xludf.DUMMYFUNCTION("""COMPUTED_VALUE"""),"Pakistan")</f>
        <v>Pakistan</v>
      </c>
      <c r="C1146" s="59" t="str">
        <f>IFERROR(__xludf.DUMMYFUNCTION("""COMPUTED_VALUE"""),"U.S. Embassy Islamabad")</f>
        <v>U.S. Embassy Islamabad</v>
      </c>
      <c r="D1146" s="59" t="str">
        <f>IFERROR(__xludf.DUMMYFUNCTION("""COMPUTED_VALUE"""),"Facebook")</f>
        <v>Facebook</v>
      </c>
      <c r="E1146" s="60" t="str">
        <f>IFERROR(__xludf.DUMMYFUNCTION("""COMPUTED_VALUE"""),"https://www.facebook.com/pakistan.usembassy/")</f>
        <v>https://www.facebook.com/pakistan.usembassy/</v>
      </c>
    </row>
    <row r="1147">
      <c r="A1147" s="59" t="str">
        <f>IFERROR(__xludf.DUMMYFUNCTION("""COMPUTED_VALUE"""),"SCA")</f>
        <v>SCA</v>
      </c>
      <c r="B1147" s="59" t="str">
        <f>IFERROR(__xludf.DUMMYFUNCTION("""COMPUTED_VALUE"""),"Pakistan")</f>
        <v>Pakistan</v>
      </c>
      <c r="C1147" s="59" t="str">
        <f>IFERROR(__xludf.DUMMYFUNCTION("""COMPUTED_VALUE"""),"U.S. Embassy Islamabad")</f>
        <v>U.S. Embassy Islamabad</v>
      </c>
      <c r="D1147" s="59" t="str">
        <f>IFERROR(__xludf.DUMMYFUNCTION("""COMPUTED_VALUE"""),"Instagram")</f>
        <v>Instagram</v>
      </c>
      <c r="E1147" s="60" t="str">
        <f>IFERROR(__xludf.DUMMYFUNCTION("""COMPUTED_VALUE"""),"https://www.instagram.com/usembislamabad")</f>
        <v>https://www.instagram.com/usembislamabad</v>
      </c>
    </row>
    <row r="1148">
      <c r="A1148" s="59" t="str">
        <f>IFERROR(__xludf.DUMMYFUNCTION("""COMPUTED_VALUE"""),"SCA")</f>
        <v>SCA</v>
      </c>
      <c r="B1148" s="59" t="str">
        <f>IFERROR(__xludf.DUMMYFUNCTION("""COMPUTED_VALUE"""),"Pakistan")</f>
        <v>Pakistan</v>
      </c>
      <c r="C1148" s="59" t="str">
        <f>IFERROR(__xludf.DUMMYFUNCTION("""COMPUTED_VALUE"""),"U.S. Embassy Islamabad")</f>
        <v>U.S. Embassy Islamabad</v>
      </c>
      <c r="D1148" s="59" t="str">
        <f>IFERROR(__xludf.DUMMYFUNCTION("""COMPUTED_VALUE"""),"YouTube")</f>
        <v>YouTube</v>
      </c>
      <c r="E1148" s="60" t="str">
        <f>IFERROR(__xludf.DUMMYFUNCTION("""COMPUTED_VALUE"""),"https://www.youtube.com/c/usembpak")</f>
        <v>https://www.youtube.com/c/usembpak</v>
      </c>
    </row>
    <row r="1149">
      <c r="A1149" s="59" t="str">
        <f>IFERROR(__xludf.DUMMYFUNCTION("""COMPUTED_VALUE"""),"SCA")</f>
        <v>SCA</v>
      </c>
      <c r="B1149" s="59" t="str">
        <f>IFERROR(__xludf.DUMMYFUNCTION("""COMPUTED_VALUE"""),"Pakistan")</f>
        <v>Pakistan</v>
      </c>
      <c r="C1149" s="59" t="str">
        <f>IFERROR(__xludf.DUMMYFUNCTION("""COMPUTED_VALUE"""),"U.S. Embassy Islamabad")</f>
        <v>U.S. Embassy Islamabad</v>
      </c>
      <c r="D1149" s="59" t="str">
        <f>IFERROR(__xludf.DUMMYFUNCTION("""COMPUTED_VALUE"""),"Flickr")</f>
        <v>Flickr</v>
      </c>
      <c r="E1149" s="60" t="str">
        <f>IFERROR(__xludf.DUMMYFUNCTION("""COMPUTED_VALUE"""),"https://www.flickr.com/photos/usembpak/")</f>
        <v>https://www.flickr.com/photos/usembpak/</v>
      </c>
    </row>
    <row r="1150">
      <c r="A1150" s="59" t="str">
        <f>IFERROR(__xludf.DUMMYFUNCTION("""COMPUTED_VALUE"""),"SCA")</f>
        <v>SCA</v>
      </c>
      <c r="B1150" s="59" t="str">
        <f>IFERROR(__xludf.DUMMYFUNCTION("""COMPUTED_VALUE"""),"Pakistan")</f>
        <v>Pakistan</v>
      </c>
      <c r="C1150" s="59" t="str">
        <f>IFERROR(__xludf.DUMMYFUNCTION("""COMPUTED_VALUE"""),"U.S. Embassy Islamabad")</f>
        <v>U.S. Embassy Islamabad</v>
      </c>
      <c r="D1150" s="59" t="str">
        <f>IFERROR(__xludf.DUMMYFUNCTION("""COMPUTED_VALUE"""),"LinkedIn")</f>
        <v>LinkedIn</v>
      </c>
      <c r="E1150" s="60" t="str">
        <f>IFERROR(__xludf.DUMMYFUNCTION("""COMPUTED_VALUE"""),"https://www.linkedin.com/company/u-s-embassy-pakistan/")</f>
        <v>https://www.linkedin.com/company/u-s-embassy-pakistan/</v>
      </c>
    </row>
    <row r="1151">
      <c r="A1151" s="59" t="str">
        <f>IFERROR(__xludf.DUMMYFUNCTION("""COMPUTED_VALUE"""),"SCA")</f>
        <v>SCA</v>
      </c>
      <c r="B1151" s="59" t="str">
        <f>IFERROR(__xludf.DUMMYFUNCTION("""COMPUTED_VALUE"""),"Pakistan")</f>
        <v>Pakistan</v>
      </c>
      <c r="C1151" s="59" t="str">
        <f>IFERROR(__xludf.DUMMYFUNCTION("""COMPUTED_VALUE"""),"U.S. Embassy Islamabad")</f>
        <v>U.S. Embassy Islamabad</v>
      </c>
      <c r="D1151" s="59" t="str">
        <f>IFERROR(__xludf.DUMMYFUNCTION("""COMPUTED_VALUE"""),"X")</f>
        <v>X</v>
      </c>
      <c r="E1151" s="60" t="str">
        <f>IFERROR(__xludf.DUMMYFUNCTION("""COMPUTED_VALUE"""),"https://x.com/usembislamabad")</f>
        <v>https://x.com/usembislamabad</v>
      </c>
    </row>
    <row r="1152">
      <c r="A1152" s="59" t="str">
        <f>IFERROR(__xludf.DUMMYFUNCTION("""COMPUTED_VALUE"""),"SCA")</f>
        <v>SCA</v>
      </c>
      <c r="B1152" s="59" t="str">
        <f>IFERROR(__xludf.DUMMYFUNCTION("""COMPUTED_VALUE"""),"Sri Lanka")</f>
        <v>Sri Lanka</v>
      </c>
      <c r="C1152" s="59" t="str">
        <f>IFERROR(__xludf.DUMMYFUNCTION("""COMPUTED_VALUE"""),"U.S. Ambassador to Sri Lanka")</f>
        <v>U.S. Ambassador to Sri Lanka</v>
      </c>
      <c r="D1152" s="59" t="str">
        <f>IFERROR(__xludf.DUMMYFUNCTION("""COMPUTED_VALUE"""),"X")</f>
        <v>X</v>
      </c>
      <c r="E1152" s="60" t="str">
        <f>IFERROR(__xludf.DUMMYFUNCTION("""COMPUTED_VALUE"""),"https://x.com/USAmbSL")</f>
        <v>https://x.com/USAmbSL</v>
      </c>
    </row>
    <row r="1153">
      <c r="A1153" s="59" t="str">
        <f>IFERROR(__xludf.DUMMYFUNCTION("""COMPUTED_VALUE"""),"SCA")</f>
        <v>SCA</v>
      </c>
      <c r="B1153" s="59" t="str">
        <f>IFERROR(__xludf.DUMMYFUNCTION("""COMPUTED_VALUE"""),"Sri Lanka")</f>
        <v>Sri Lanka</v>
      </c>
      <c r="C1153" s="59" t="str">
        <f>IFERROR(__xludf.DUMMYFUNCTION("""COMPUTED_VALUE"""),"U.S. Embassy Colombo")</f>
        <v>U.S. Embassy Colombo</v>
      </c>
      <c r="D1153" s="59" t="str">
        <f>IFERROR(__xludf.DUMMYFUNCTION("""COMPUTED_VALUE"""),"Facebook")</f>
        <v>Facebook</v>
      </c>
      <c r="E1153" s="60" t="str">
        <f>IFERROR(__xludf.DUMMYFUNCTION("""COMPUTED_VALUE"""),"https://www.facebook.com/Colombo.USembassy/")</f>
        <v>https://www.facebook.com/Colombo.USembassy/</v>
      </c>
    </row>
    <row r="1154">
      <c r="A1154" s="59" t="str">
        <f>IFERROR(__xludf.DUMMYFUNCTION("""COMPUTED_VALUE"""),"SCA")</f>
        <v>SCA</v>
      </c>
      <c r="B1154" s="59" t="str">
        <f>IFERROR(__xludf.DUMMYFUNCTION("""COMPUTED_VALUE"""),"Sri Lanka")</f>
        <v>Sri Lanka</v>
      </c>
      <c r="C1154" s="59" t="str">
        <f>IFERROR(__xludf.DUMMYFUNCTION("""COMPUTED_VALUE"""),"U.S. Embassy Colombo")</f>
        <v>U.S. Embassy Colombo</v>
      </c>
      <c r="D1154" s="59" t="str">
        <f>IFERROR(__xludf.DUMMYFUNCTION("""COMPUTED_VALUE"""),"Instagram")</f>
        <v>Instagram</v>
      </c>
      <c r="E1154" s="60" t="str">
        <f>IFERROR(__xludf.DUMMYFUNCTION("""COMPUTED_VALUE"""),"https://www.instagram.com/usembsl")</f>
        <v>https://www.instagram.com/usembsl</v>
      </c>
    </row>
    <row r="1155">
      <c r="A1155" s="59" t="str">
        <f>IFERROR(__xludf.DUMMYFUNCTION("""COMPUTED_VALUE"""),"SCA")</f>
        <v>SCA</v>
      </c>
      <c r="B1155" s="59" t="str">
        <f>IFERROR(__xludf.DUMMYFUNCTION("""COMPUTED_VALUE"""),"Sri Lanka")</f>
        <v>Sri Lanka</v>
      </c>
      <c r="C1155" s="59" t="str">
        <f>IFERROR(__xludf.DUMMYFUNCTION("""COMPUTED_VALUE"""),"U.S. Embassy Colombo")</f>
        <v>U.S. Embassy Colombo</v>
      </c>
      <c r="D1155" s="59" t="str">
        <f>IFERROR(__xludf.DUMMYFUNCTION("""COMPUTED_VALUE"""),"X")</f>
        <v>X</v>
      </c>
      <c r="E1155" s="60" t="str">
        <f>IFERROR(__xludf.DUMMYFUNCTION("""COMPUTED_VALUE"""),"https://x.com/USEmbSL")</f>
        <v>https://x.com/USEmbSL</v>
      </c>
    </row>
    <row r="1156">
      <c r="A1156" s="59" t="str">
        <f>IFERROR(__xludf.DUMMYFUNCTION("""COMPUTED_VALUE"""),"SCA")</f>
        <v>SCA</v>
      </c>
      <c r="B1156" s="59" t="str">
        <f>IFERROR(__xludf.DUMMYFUNCTION("""COMPUTED_VALUE"""),"Sri Lanka")</f>
        <v>Sri Lanka</v>
      </c>
      <c r="C1156" s="59" t="str">
        <f>IFERROR(__xludf.DUMMYFUNCTION("""COMPUTED_VALUE"""),"U.S. Embassy Colombo")</f>
        <v>U.S. Embassy Colombo</v>
      </c>
      <c r="D1156" s="59" t="str">
        <f>IFERROR(__xludf.DUMMYFUNCTION("""COMPUTED_VALUE"""),"YouTube")</f>
        <v>YouTube</v>
      </c>
      <c r="E1156" s="60" t="str">
        <f>IFERROR(__xludf.DUMMYFUNCTION("""COMPUTED_VALUE"""),"https://www.youtube.com/user/USEmbassySriLanka")</f>
        <v>https://www.youtube.com/user/USEmbassySriLanka</v>
      </c>
    </row>
    <row r="1157">
      <c r="A1157" s="59" t="str">
        <f>IFERROR(__xludf.DUMMYFUNCTION("""COMPUTED_VALUE"""),"SCA")</f>
        <v>SCA</v>
      </c>
      <c r="B1157" s="59" t="str">
        <f>IFERROR(__xludf.DUMMYFUNCTION("""COMPUTED_VALUE"""),"Tajikistan")</f>
        <v>Tajikistan</v>
      </c>
      <c r="C1157" s="59" t="str">
        <f>IFERROR(__xludf.DUMMYFUNCTION("""COMPUTED_VALUE"""),"U.S. Embassy Dushanbe")</f>
        <v>U.S. Embassy Dushanbe</v>
      </c>
      <c r="D1157" s="59" t="str">
        <f>IFERROR(__xludf.DUMMYFUNCTION("""COMPUTED_VALUE"""),"Facebook")</f>
        <v>Facebook</v>
      </c>
      <c r="E1157" s="60" t="str">
        <f>IFERROR(__xludf.DUMMYFUNCTION("""COMPUTED_VALUE"""),"https://www.facebook.com/usembassy.dushanbe/")</f>
        <v>https://www.facebook.com/usembassy.dushanbe/</v>
      </c>
    </row>
    <row r="1158">
      <c r="A1158" s="59" t="str">
        <f>IFERROR(__xludf.DUMMYFUNCTION("""COMPUTED_VALUE"""),"SCA")</f>
        <v>SCA</v>
      </c>
      <c r="B1158" s="59" t="str">
        <f>IFERROR(__xludf.DUMMYFUNCTION("""COMPUTED_VALUE"""),"Tajikistan")</f>
        <v>Tajikistan</v>
      </c>
      <c r="C1158" s="59" t="str">
        <f>IFERROR(__xludf.DUMMYFUNCTION("""COMPUTED_VALUE"""),"U.S. Embassy Dushanbe")</f>
        <v>U.S. Embassy Dushanbe</v>
      </c>
      <c r="D1158" s="59" t="str">
        <f>IFERROR(__xludf.DUMMYFUNCTION("""COMPUTED_VALUE"""),"Instagram")</f>
        <v>Instagram</v>
      </c>
      <c r="E1158" s="60" t="str">
        <f>IFERROR(__xludf.DUMMYFUNCTION("""COMPUTED_VALUE"""),"https://www.instagram.com/usembassydushanbe")</f>
        <v>https://www.instagram.com/usembassydushanbe</v>
      </c>
    </row>
    <row r="1159">
      <c r="A1159" s="59" t="str">
        <f>IFERROR(__xludf.DUMMYFUNCTION("""COMPUTED_VALUE"""),"SCA")</f>
        <v>SCA</v>
      </c>
      <c r="B1159" s="59" t="str">
        <f>IFERROR(__xludf.DUMMYFUNCTION("""COMPUTED_VALUE"""),"Tajikistan")</f>
        <v>Tajikistan</v>
      </c>
      <c r="C1159" s="59" t="str">
        <f>IFERROR(__xludf.DUMMYFUNCTION("""COMPUTED_VALUE"""),"U.S. Embassy Dushanbe")</f>
        <v>U.S. Embassy Dushanbe</v>
      </c>
      <c r="D1159" s="59" t="str">
        <f>IFERROR(__xludf.DUMMYFUNCTION("""COMPUTED_VALUE"""),"X")</f>
        <v>X</v>
      </c>
      <c r="E1159" s="60" t="str">
        <f>IFERROR(__xludf.DUMMYFUNCTION("""COMPUTED_VALUE"""),"https://x.com/USEmbDushanbe")</f>
        <v>https://x.com/USEmbDushanbe</v>
      </c>
    </row>
    <row r="1160">
      <c r="A1160" s="59" t="str">
        <f>IFERROR(__xludf.DUMMYFUNCTION("""COMPUTED_VALUE"""),"SCA")</f>
        <v>SCA</v>
      </c>
      <c r="B1160" s="59" t="str">
        <f>IFERROR(__xludf.DUMMYFUNCTION("""COMPUTED_VALUE"""),"Tajikistan")</f>
        <v>Tajikistan</v>
      </c>
      <c r="C1160" s="59" t="str">
        <f>IFERROR(__xludf.DUMMYFUNCTION("""COMPUTED_VALUE"""),"U.S. Embassy Dushanbe")</f>
        <v>U.S. Embassy Dushanbe</v>
      </c>
      <c r="D1160" s="59" t="str">
        <f>IFERROR(__xludf.DUMMYFUNCTION("""COMPUTED_VALUE"""),"Telegram")</f>
        <v>Telegram</v>
      </c>
      <c r="E1160" s="60" t="str">
        <f>IFERROR(__xludf.DUMMYFUNCTION("""COMPUTED_VALUE"""),"https://t.me/usembassydushanbe")</f>
        <v>https://t.me/usembassydushanbe</v>
      </c>
    </row>
    <row r="1161">
      <c r="A1161" s="59" t="str">
        <f>IFERROR(__xludf.DUMMYFUNCTION("""COMPUTED_VALUE"""),"SCA")</f>
        <v>SCA</v>
      </c>
      <c r="B1161" s="59" t="str">
        <f>IFERROR(__xludf.DUMMYFUNCTION("""COMPUTED_VALUE"""),"Turkmenistan")</f>
        <v>Turkmenistan</v>
      </c>
      <c r="C1161" s="59" t="str">
        <f>IFERROR(__xludf.DUMMYFUNCTION("""COMPUTED_VALUE"""),"U.S. Embassy Ashgabat")</f>
        <v>U.S. Embassy Ashgabat</v>
      </c>
      <c r="D1161" s="59" t="str">
        <f>IFERROR(__xludf.DUMMYFUNCTION("""COMPUTED_VALUE"""),"Facebook")</f>
        <v>Facebook</v>
      </c>
      <c r="E1161" s="60" t="str">
        <f>IFERROR(__xludf.DUMMYFUNCTION("""COMPUTED_VALUE"""),"https://www.facebook.com/usembassy.turkmenistan/")</f>
        <v>https://www.facebook.com/usembassy.turkmenistan/</v>
      </c>
    </row>
    <row r="1162">
      <c r="A1162" s="59" t="str">
        <f>IFERROR(__xludf.DUMMYFUNCTION("""COMPUTED_VALUE"""),"SCA")</f>
        <v>SCA</v>
      </c>
      <c r="B1162" s="59" t="str">
        <f>IFERROR(__xludf.DUMMYFUNCTION("""COMPUTED_VALUE"""),"Turkmenistan")</f>
        <v>Turkmenistan</v>
      </c>
      <c r="C1162" s="59" t="str">
        <f>IFERROR(__xludf.DUMMYFUNCTION("""COMPUTED_VALUE"""),"U.S. Embassy Ashgabat")</f>
        <v>U.S. Embassy Ashgabat</v>
      </c>
      <c r="D1162" s="59" t="str">
        <f>IFERROR(__xludf.DUMMYFUNCTION("""COMPUTED_VALUE"""),"Instagram")</f>
        <v>Instagram</v>
      </c>
      <c r="E1162" s="60" t="str">
        <f>IFERROR(__xludf.DUMMYFUNCTION("""COMPUTED_VALUE"""),"https://www.instagram.com/usembassyashgabat")</f>
        <v>https://www.instagram.com/usembassyashgabat</v>
      </c>
    </row>
    <row r="1163">
      <c r="A1163" s="59" t="str">
        <f>IFERROR(__xludf.DUMMYFUNCTION("""COMPUTED_VALUE"""),"SCA")</f>
        <v>SCA</v>
      </c>
      <c r="B1163" s="59" t="str">
        <f>IFERROR(__xludf.DUMMYFUNCTION("""COMPUTED_VALUE"""),"Turkmenistan")</f>
        <v>Turkmenistan</v>
      </c>
      <c r="C1163" s="59" t="str">
        <f>IFERROR(__xludf.DUMMYFUNCTION("""COMPUTED_VALUE"""),"U.S. Embassy Ashgabat")</f>
        <v>U.S. Embassy Ashgabat</v>
      </c>
      <c r="D1163" s="59" t="str">
        <f>IFERROR(__xludf.DUMMYFUNCTION("""COMPUTED_VALUE"""),"YouTube")</f>
        <v>YouTube</v>
      </c>
      <c r="E1163" s="60" t="str">
        <f>IFERROR(__xludf.DUMMYFUNCTION("""COMPUTED_VALUE"""),"https://www.youtube.com/user/IRCAshgabat")</f>
        <v>https://www.youtube.com/user/IRCAshgabat</v>
      </c>
    </row>
    <row r="1164">
      <c r="A1164" s="59" t="str">
        <f>IFERROR(__xludf.DUMMYFUNCTION("""COMPUTED_VALUE"""),"SCA")</f>
        <v>SCA</v>
      </c>
      <c r="B1164" s="59" t="str">
        <f>IFERROR(__xludf.DUMMYFUNCTION("""COMPUTED_VALUE"""),"United States")</f>
        <v>United States</v>
      </c>
      <c r="C1164" s="59" t="str">
        <f>IFERROR(__xludf.DUMMYFUNCTION("""COMPUTED_VALUE"""),"Bureau of South and Central Asian Affairs")</f>
        <v>Bureau of South and Central Asian Affairs</v>
      </c>
      <c r="D1164" s="59" t="str">
        <f>IFERROR(__xludf.DUMMYFUNCTION("""COMPUTED_VALUE"""),"X")</f>
        <v>X</v>
      </c>
      <c r="E1164" s="60" t="str">
        <f>IFERROR(__xludf.DUMMYFUNCTION("""COMPUTED_VALUE"""),"https://x.com/State_SCA")</f>
        <v>https://x.com/State_SCA</v>
      </c>
    </row>
    <row r="1165">
      <c r="A1165" s="59" t="str">
        <f>IFERROR(__xludf.DUMMYFUNCTION("""COMPUTED_VALUE"""),"SCA")</f>
        <v>SCA</v>
      </c>
      <c r="B1165" s="59" t="str">
        <f>IFERROR(__xludf.DUMMYFUNCTION("""COMPUTED_VALUE"""),"United States")</f>
        <v>United States</v>
      </c>
      <c r="C1165" s="59" t="str">
        <f>IFERROR(__xludf.DUMMYFUNCTION("""COMPUTED_VALUE"""),"U.S. Special Representative for Afghanistan")</f>
        <v>U.S. Special Representative for Afghanistan</v>
      </c>
      <c r="D1165" s="59" t="str">
        <f>IFERROR(__xludf.DUMMYFUNCTION("""COMPUTED_VALUE"""),"X")</f>
        <v>X</v>
      </c>
      <c r="E1165" s="60" t="str">
        <f>IFERROR(__xludf.DUMMYFUNCTION("""COMPUTED_VALUE"""),"https://x.com/US4AfghanPeace")</f>
        <v>https://x.com/US4AfghanPeace</v>
      </c>
    </row>
    <row r="1166">
      <c r="A1166" s="59" t="str">
        <f>IFERROR(__xludf.DUMMYFUNCTION("""COMPUTED_VALUE"""),"SCA")</f>
        <v>SCA</v>
      </c>
      <c r="B1166" s="59" t="str">
        <f>IFERROR(__xludf.DUMMYFUNCTION("""COMPUTED_VALUE"""),"Uzbekistan")</f>
        <v>Uzbekistan</v>
      </c>
      <c r="C1166" s="59" t="str">
        <f>IFERROR(__xludf.DUMMYFUNCTION("""COMPUTED_VALUE"""),"U.S. Ambassador to Uzbekistan")</f>
        <v>U.S. Ambassador to Uzbekistan</v>
      </c>
      <c r="D1166" s="59" t="str">
        <f>IFERROR(__xludf.DUMMYFUNCTION("""COMPUTED_VALUE"""),"X")</f>
        <v>X</v>
      </c>
      <c r="E1166" s="60" t="str">
        <f>IFERROR(__xludf.DUMMYFUNCTION("""COMPUTED_VALUE"""),"https://x.com/UsAmbUzbekistan")</f>
        <v>https://x.com/UsAmbUzbekistan</v>
      </c>
    </row>
    <row r="1167">
      <c r="A1167" s="59" t="str">
        <f>IFERROR(__xludf.DUMMYFUNCTION("""COMPUTED_VALUE"""),"SCA")</f>
        <v>SCA</v>
      </c>
      <c r="B1167" s="59" t="str">
        <f>IFERROR(__xludf.DUMMYFUNCTION("""COMPUTED_VALUE"""),"Uzbekistan")</f>
        <v>Uzbekistan</v>
      </c>
      <c r="C1167" s="59" t="str">
        <f>IFERROR(__xludf.DUMMYFUNCTION("""COMPUTED_VALUE"""),"U.S. Embassy Tashkent")</f>
        <v>U.S. Embassy Tashkent</v>
      </c>
      <c r="D1167" s="59" t="str">
        <f>IFERROR(__xludf.DUMMYFUNCTION("""COMPUTED_VALUE"""),"Facebook")</f>
        <v>Facebook</v>
      </c>
      <c r="E1167" s="60" t="str">
        <f>IFERROR(__xludf.DUMMYFUNCTION("""COMPUTED_VALUE"""),"https://www.facebook.com/usdos.uzbekistan/")</f>
        <v>https://www.facebook.com/usdos.uzbekistan/</v>
      </c>
    </row>
    <row r="1168">
      <c r="A1168" s="59" t="str">
        <f>IFERROR(__xludf.DUMMYFUNCTION("""COMPUTED_VALUE"""),"SCA")</f>
        <v>SCA</v>
      </c>
      <c r="B1168" s="59" t="str">
        <f>IFERROR(__xludf.DUMMYFUNCTION("""COMPUTED_VALUE"""),"Uzbekistan")</f>
        <v>Uzbekistan</v>
      </c>
      <c r="C1168" s="59" t="str">
        <f>IFERROR(__xludf.DUMMYFUNCTION("""COMPUTED_VALUE"""),"U.S. Embassy Tashkent")</f>
        <v>U.S. Embassy Tashkent</v>
      </c>
      <c r="D1168" s="59" t="str">
        <f>IFERROR(__xludf.DUMMYFUNCTION("""COMPUTED_VALUE"""),"Instagram")</f>
        <v>Instagram</v>
      </c>
      <c r="E1168" s="60" t="str">
        <f>IFERROR(__xludf.DUMMYFUNCTION("""COMPUTED_VALUE"""),"https://www.instagram.com/usembassytashkent")</f>
        <v>https://www.instagram.com/usembassytashkent</v>
      </c>
    </row>
    <row r="1169">
      <c r="A1169" s="59" t="str">
        <f>IFERROR(__xludf.DUMMYFUNCTION("""COMPUTED_VALUE"""),"SCA")</f>
        <v>SCA</v>
      </c>
      <c r="B1169" s="59" t="str">
        <f>IFERROR(__xludf.DUMMYFUNCTION("""COMPUTED_VALUE"""),"Uzbekistan")</f>
        <v>Uzbekistan</v>
      </c>
      <c r="C1169" s="59" t="str">
        <f>IFERROR(__xludf.DUMMYFUNCTION("""COMPUTED_VALUE"""),"U.S. Embassy Tashkent")</f>
        <v>U.S. Embassy Tashkent</v>
      </c>
      <c r="D1169" s="59" t="str">
        <f>IFERROR(__xludf.DUMMYFUNCTION("""COMPUTED_VALUE"""),"YouTube")</f>
        <v>YouTube</v>
      </c>
      <c r="E1169" s="60" t="str">
        <f>IFERROR(__xludf.DUMMYFUNCTION("""COMPUTED_VALUE"""),"https://www.youtube.com/user/usembassytashkent")</f>
        <v>https://www.youtube.com/user/usembassytashkent</v>
      </c>
    </row>
    <row r="1170">
      <c r="A1170" s="59" t="str">
        <f>IFERROR(__xludf.DUMMYFUNCTION("""COMPUTED_VALUE"""),"SCA")</f>
        <v>SCA</v>
      </c>
      <c r="B1170" s="59" t="str">
        <f>IFERROR(__xludf.DUMMYFUNCTION("""COMPUTED_VALUE"""),"Uzbekistan")</f>
        <v>Uzbekistan</v>
      </c>
      <c r="C1170" s="59" t="str">
        <f>IFERROR(__xludf.DUMMYFUNCTION("""COMPUTED_VALUE"""),"U.S. Embassy Tashkent")</f>
        <v>U.S. Embassy Tashkent</v>
      </c>
      <c r="D1170" s="59" t="str">
        <f>IFERROR(__xludf.DUMMYFUNCTION("""COMPUTED_VALUE"""),"Telegram")</f>
        <v>Telegram</v>
      </c>
      <c r="E1170" s="60" t="str">
        <f>IFERROR(__xludf.DUMMYFUNCTION("""COMPUTED_VALUE"""),"https://t.me/USAUzbekistan")</f>
        <v>https://t.me/USAUzbekistan</v>
      </c>
    </row>
    <row r="1171">
      <c r="A1171" s="59" t="str">
        <f>IFERROR(__xludf.DUMMYFUNCTION("""COMPUTED_VALUE"""),"SCA")</f>
        <v>SCA</v>
      </c>
      <c r="B1171" s="59" t="str">
        <f>IFERROR(__xludf.DUMMYFUNCTION("""COMPUTED_VALUE"""),"Uzbekistan")</f>
        <v>Uzbekistan</v>
      </c>
      <c r="C1171" s="59" t="str">
        <f>IFERROR(__xludf.DUMMYFUNCTION("""COMPUTED_VALUE"""),"U.S. Embassy Tashkent")</f>
        <v>U.S. Embassy Tashkent</v>
      </c>
      <c r="D1171" s="59" t="str">
        <f>IFERROR(__xludf.DUMMYFUNCTION("""COMPUTED_VALUE"""),"X")</f>
        <v>X</v>
      </c>
      <c r="E1171" s="60" t="str">
        <f>IFERROR(__xludf.DUMMYFUNCTION("""COMPUTED_VALUE"""),"https://x.com/usembtashkent")</f>
        <v>https://x.com/usembtashkent</v>
      </c>
    </row>
    <row r="1172">
      <c r="A1172" s="59" t="str">
        <f>IFERROR(__xludf.DUMMYFUNCTION("""COMPUTED_VALUE"""),"WHA")</f>
        <v>WHA</v>
      </c>
      <c r="B1172" s="59" t="str">
        <f>IFERROR(__xludf.DUMMYFUNCTION("""COMPUTED_VALUE"""),"Argentina")</f>
        <v>Argentina</v>
      </c>
      <c r="C1172" s="59" t="str">
        <f>IFERROR(__xludf.DUMMYFUNCTION("""COMPUTED_VALUE"""),"U.S. Ambassador to Argentina")</f>
        <v>U.S. Ambassador to Argentina</v>
      </c>
      <c r="D1172" s="59" t="str">
        <f>IFERROR(__xludf.DUMMYFUNCTION("""COMPUTED_VALUE"""),"X")</f>
        <v>X</v>
      </c>
      <c r="E1172" s="60" t="str">
        <f>IFERROR(__xludf.DUMMYFUNCTION("""COMPUTED_VALUE"""),"https://x.com/USAmbassadorARG")</f>
        <v>https://x.com/USAmbassadorARG</v>
      </c>
    </row>
    <row r="1173">
      <c r="A1173" s="59" t="str">
        <f>IFERROR(__xludf.DUMMYFUNCTION("""COMPUTED_VALUE"""),"WHA")</f>
        <v>WHA</v>
      </c>
      <c r="B1173" s="59" t="str">
        <f>IFERROR(__xludf.DUMMYFUNCTION("""COMPUTED_VALUE"""),"Argentina")</f>
        <v>Argentina</v>
      </c>
      <c r="C1173" s="59" t="str">
        <f>IFERROR(__xludf.DUMMYFUNCTION("""COMPUTED_VALUE"""),"U.S. Embassy Buenos Aires")</f>
        <v>U.S. Embassy Buenos Aires</v>
      </c>
      <c r="D1173" s="59" t="str">
        <f>IFERROR(__xludf.DUMMYFUNCTION("""COMPUTED_VALUE"""),"Facebook")</f>
        <v>Facebook</v>
      </c>
      <c r="E1173" s="60" t="str">
        <f>IFERROR(__xludf.DUMMYFUNCTION("""COMPUTED_VALUE"""),"https://www.facebook.com/EmbUSARG/")</f>
        <v>https://www.facebook.com/EmbUSARG/</v>
      </c>
    </row>
    <row r="1174">
      <c r="A1174" s="59" t="str">
        <f>IFERROR(__xludf.DUMMYFUNCTION("""COMPUTED_VALUE"""),"WHA")</f>
        <v>WHA</v>
      </c>
      <c r="B1174" s="59" t="str">
        <f>IFERROR(__xludf.DUMMYFUNCTION("""COMPUTED_VALUE"""),"Argentina")</f>
        <v>Argentina</v>
      </c>
      <c r="C1174" s="59" t="str">
        <f>IFERROR(__xludf.DUMMYFUNCTION("""COMPUTED_VALUE"""),"U.S. Embassy Buenos Aires")</f>
        <v>U.S. Embassy Buenos Aires</v>
      </c>
      <c r="D1174" s="59" t="str">
        <f>IFERROR(__xludf.DUMMYFUNCTION("""COMPUTED_VALUE"""),"X")</f>
        <v>X</v>
      </c>
      <c r="E1174" s="60" t="str">
        <f>IFERROR(__xludf.DUMMYFUNCTION("""COMPUTED_VALUE"""),"https://x.com/EmbajadaEEUUarg")</f>
        <v>https://x.com/EmbajadaEEUUarg</v>
      </c>
    </row>
    <row r="1175">
      <c r="A1175" s="59" t="str">
        <f>IFERROR(__xludf.DUMMYFUNCTION("""COMPUTED_VALUE"""),"WHA")</f>
        <v>WHA</v>
      </c>
      <c r="B1175" s="59" t="str">
        <f>IFERROR(__xludf.DUMMYFUNCTION("""COMPUTED_VALUE"""),"Argentina")</f>
        <v>Argentina</v>
      </c>
      <c r="C1175" s="59" t="str">
        <f>IFERROR(__xludf.DUMMYFUNCTION("""COMPUTED_VALUE"""),"U.S. Embassy Buenos Aires")</f>
        <v>U.S. Embassy Buenos Aires</v>
      </c>
      <c r="D1175" s="59" t="str">
        <f>IFERROR(__xludf.DUMMYFUNCTION("""COMPUTED_VALUE"""),"X")</f>
        <v>X</v>
      </c>
      <c r="E1175" s="60" t="str">
        <f>IFERROR(__xludf.DUMMYFUNCTION("""COMPUTED_VALUE"""),"https://x.com/USEmbArgentina")</f>
        <v>https://x.com/USEmbArgentina</v>
      </c>
    </row>
    <row r="1176">
      <c r="A1176" s="59" t="str">
        <f>IFERROR(__xludf.DUMMYFUNCTION("""COMPUTED_VALUE"""),"WHA")</f>
        <v>WHA</v>
      </c>
      <c r="B1176" s="59" t="str">
        <f>IFERROR(__xludf.DUMMYFUNCTION("""COMPUTED_VALUE"""),"Argentina")</f>
        <v>Argentina</v>
      </c>
      <c r="C1176" s="59" t="str">
        <f>IFERROR(__xludf.DUMMYFUNCTION("""COMPUTED_VALUE"""),"American Citizen Serivces Argentina")</f>
        <v>American Citizen Serivces Argentina</v>
      </c>
      <c r="D1176" s="59" t="str">
        <f>IFERROR(__xludf.DUMMYFUNCTION("""COMPUTED_VALUE"""),"WhatsApp")</f>
        <v>WhatsApp</v>
      </c>
      <c r="E1176" s="60" t="str">
        <f>IFERROR(__xludf.DUMMYFUNCTION("""COMPUTED_VALUE"""),"https://whatsapp.com/channel/0029VajpIXs84OmAZsk8oz2N")</f>
        <v>https://whatsapp.com/channel/0029VajpIXs84OmAZsk8oz2N</v>
      </c>
    </row>
    <row r="1177">
      <c r="A1177" s="59" t="str">
        <f>IFERROR(__xludf.DUMMYFUNCTION("""COMPUTED_VALUE"""),"WHA")</f>
        <v>WHA</v>
      </c>
      <c r="B1177" s="59" t="str">
        <f>IFERROR(__xludf.DUMMYFUNCTION("""COMPUTED_VALUE"""),"Argentina")</f>
        <v>Argentina</v>
      </c>
      <c r="C1177" s="59" t="str">
        <f>IFERROR(__xludf.DUMMYFUNCTION("""COMPUTED_VALUE"""),"U.S. Embassy Buenos Aires")</f>
        <v>U.S. Embassy Buenos Aires</v>
      </c>
      <c r="D1177" s="59" t="str">
        <f>IFERROR(__xludf.DUMMYFUNCTION("""COMPUTED_VALUE"""),"LinkedIn")</f>
        <v>LinkedIn</v>
      </c>
      <c r="E1177" s="60" t="str">
        <f>IFERROR(__xludf.DUMMYFUNCTION("""COMPUTED_VALUE"""),"https://www.linkedin.com/showcase/u-s-embassy-buenos-aires-argentina/")</f>
        <v>https://www.linkedin.com/showcase/u-s-embassy-buenos-aires-argentina/</v>
      </c>
    </row>
    <row r="1178">
      <c r="A1178" s="59" t="str">
        <f>IFERROR(__xludf.DUMMYFUNCTION("""COMPUTED_VALUE"""),"WHA")</f>
        <v>WHA</v>
      </c>
      <c r="B1178" s="59" t="str">
        <f>IFERROR(__xludf.DUMMYFUNCTION("""COMPUTED_VALUE"""),"Argentina")</f>
        <v>Argentina</v>
      </c>
      <c r="C1178" s="59" t="str">
        <f>IFERROR(__xludf.DUMMYFUNCTION("""COMPUTED_VALUE"""),"U.S. Embassy Buenos Aires")</f>
        <v>U.S. Embassy Buenos Aires</v>
      </c>
      <c r="D1178" s="59" t="str">
        <f>IFERROR(__xludf.DUMMYFUNCTION("""COMPUTED_VALUE"""),"Flickr")</f>
        <v>Flickr</v>
      </c>
      <c r="E1178" s="60" t="str">
        <f>IFERROR(__xludf.DUMMYFUNCTION("""COMPUTED_VALUE"""),"https://www.flickr.com/photos/embajadaeeuubuenosaires/")</f>
        <v>https://www.flickr.com/photos/embajadaeeuubuenosaires/</v>
      </c>
    </row>
    <row r="1179">
      <c r="A1179" s="59" t="str">
        <f>IFERROR(__xludf.DUMMYFUNCTION("""COMPUTED_VALUE"""),"WHA")</f>
        <v>WHA</v>
      </c>
      <c r="B1179" s="59" t="str">
        <f>IFERROR(__xludf.DUMMYFUNCTION("""COMPUTED_VALUE"""),"Argentina")</f>
        <v>Argentina</v>
      </c>
      <c r="C1179" s="59" t="str">
        <f>IFERROR(__xludf.DUMMYFUNCTION("""COMPUTED_VALUE"""),"U.S. Embassy Buenos Aires")</f>
        <v>U.S. Embassy Buenos Aires</v>
      </c>
      <c r="D1179" s="59" t="str">
        <f>IFERROR(__xludf.DUMMYFUNCTION("""COMPUTED_VALUE"""),"YouTube")</f>
        <v>YouTube</v>
      </c>
      <c r="E1179" s="60" t="str">
        <f>IFERROR(__xludf.DUMMYFUNCTION("""COMPUTED_VALUE"""),"youtube.com/user/EmbajadaUSA")</f>
        <v>youtube.com/user/EmbajadaUSA</v>
      </c>
    </row>
    <row r="1180">
      <c r="A1180" s="59" t="str">
        <f>IFERROR(__xludf.DUMMYFUNCTION("""COMPUTED_VALUE"""),"WHA")</f>
        <v>WHA</v>
      </c>
      <c r="B1180" s="59" t="str">
        <f>IFERROR(__xludf.DUMMYFUNCTION("""COMPUTED_VALUE"""),"Barbados")</f>
        <v>Barbados</v>
      </c>
      <c r="C1180" s="59" t="str">
        <f>IFERROR(__xludf.DUMMYFUNCTION("""COMPUTED_VALUE"""),"U.S. Embassy Bridgetown")</f>
        <v>U.S. Embassy Bridgetown</v>
      </c>
      <c r="D1180" s="59" t="str">
        <f>IFERROR(__xludf.DUMMYFUNCTION("""COMPUTED_VALUE"""),"Facebook")</f>
        <v>Facebook</v>
      </c>
      <c r="E1180" s="60" t="str">
        <f>IFERROR(__xludf.DUMMYFUNCTION("""COMPUTED_VALUE"""),"https://www.facebook.com/USEmbassyBarbados/")</f>
        <v>https://www.facebook.com/USEmbassyBarbados/</v>
      </c>
    </row>
    <row r="1181">
      <c r="A1181" s="59" t="str">
        <f>IFERROR(__xludf.DUMMYFUNCTION("""COMPUTED_VALUE"""),"WHA")</f>
        <v>WHA</v>
      </c>
      <c r="B1181" s="59" t="str">
        <f>IFERROR(__xludf.DUMMYFUNCTION("""COMPUTED_VALUE"""),"Barbados")</f>
        <v>Barbados</v>
      </c>
      <c r="C1181" s="59" t="str">
        <f>IFERROR(__xludf.DUMMYFUNCTION("""COMPUTED_VALUE"""),"U.S. Embassy Bridgetown")</f>
        <v>U.S. Embassy Bridgetown</v>
      </c>
      <c r="D1181" s="59" t="str">
        <f>IFERROR(__xludf.DUMMYFUNCTION("""COMPUTED_VALUE"""),"Instagram")</f>
        <v>Instagram</v>
      </c>
      <c r="E1181" s="60" t="str">
        <f>IFERROR(__xludf.DUMMYFUNCTION("""COMPUTED_VALUE"""),"https://www.instagram.com/usembassybridgetown/")</f>
        <v>https://www.instagram.com/usembassybridgetown/</v>
      </c>
    </row>
    <row r="1182">
      <c r="A1182" s="59" t="str">
        <f>IFERROR(__xludf.DUMMYFUNCTION("""COMPUTED_VALUE"""),"WHA")</f>
        <v>WHA</v>
      </c>
      <c r="B1182" s="59" t="str">
        <f>IFERROR(__xludf.DUMMYFUNCTION("""COMPUTED_VALUE"""),"Barbados")</f>
        <v>Barbados</v>
      </c>
      <c r="C1182" s="59" t="str">
        <f>IFERROR(__xludf.DUMMYFUNCTION("""COMPUTED_VALUE"""),"U.S. Embassy Bridgetown")</f>
        <v>U.S. Embassy Bridgetown</v>
      </c>
      <c r="D1182" s="59" t="str">
        <f>IFERROR(__xludf.DUMMYFUNCTION("""COMPUTED_VALUE"""),"X")</f>
        <v>X</v>
      </c>
      <c r="E1182" s="60" t="str">
        <f>IFERROR(__xludf.DUMMYFUNCTION("""COMPUTED_VALUE"""),"https://x.com/USEmbassyBTown")</f>
        <v>https://x.com/USEmbassyBTown</v>
      </c>
    </row>
    <row r="1183">
      <c r="A1183" s="59" t="str">
        <f>IFERROR(__xludf.DUMMYFUNCTION("""COMPUTED_VALUE"""),"WHA")</f>
        <v>WHA</v>
      </c>
      <c r="B1183" s="59" t="str">
        <f>IFERROR(__xludf.DUMMYFUNCTION("""COMPUTED_VALUE"""),"Barbados")</f>
        <v>Barbados</v>
      </c>
      <c r="C1183" s="59" t="str">
        <f>IFERROR(__xludf.DUMMYFUNCTION("""COMPUTED_VALUE"""),"U.S. Embassy Bridgetown")</f>
        <v>U.S. Embassy Bridgetown</v>
      </c>
      <c r="D1183" s="59" t="str">
        <f>IFERROR(__xludf.DUMMYFUNCTION("""COMPUTED_VALUE"""),"LinkedIn")</f>
        <v>LinkedIn</v>
      </c>
      <c r="E1183" s="60" t="str">
        <f>IFERROR(__xludf.DUMMYFUNCTION("""COMPUTED_VALUE"""),"https://www.linkedin.com/company/u-s-embassy-bridgetown/")</f>
        <v>https://www.linkedin.com/company/u-s-embassy-bridgetown/</v>
      </c>
    </row>
    <row r="1184">
      <c r="A1184" s="59" t="str">
        <f>IFERROR(__xludf.DUMMYFUNCTION("""COMPUTED_VALUE"""),"WHA")</f>
        <v>WHA</v>
      </c>
      <c r="B1184" s="59" t="str">
        <f>IFERROR(__xludf.DUMMYFUNCTION("""COMPUTED_VALUE"""),"Barbados")</f>
        <v>Barbados</v>
      </c>
      <c r="C1184" s="59" t="str">
        <f>IFERROR(__xludf.DUMMYFUNCTION("""COMPUTED_VALUE"""),"U.S. Embassy Bridgetown")</f>
        <v>U.S. Embassy Bridgetown</v>
      </c>
      <c r="D1184" s="59" t="str">
        <f>IFERROR(__xludf.DUMMYFUNCTION("""COMPUTED_VALUE"""),"YouTube")</f>
        <v>YouTube</v>
      </c>
      <c r="E1184" s="60" t="str">
        <f>IFERROR(__xludf.DUMMYFUNCTION("""COMPUTED_VALUE"""),"youtube.com/user/USEmbassyBridgetown")</f>
        <v>youtube.com/user/USEmbassyBridgetown</v>
      </c>
    </row>
    <row r="1185">
      <c r="A1185" s="59" t="str">
        <f>IFERROR(__xludf.DUMMYFUNCTION("""COMPUTED_VALUE"""),"WHA")</f>
        <v>WHA</v>
      </c>
      <c r="B1185" s="59" t="str">
        <f>IFERROR(__xludf.DUMMYFUNCTION("""COMPUTED_VALUE"""),"Barbados")</f>
        <v>Barbados</v>
      </c>
      <c r="C1185" s="59" t="str">
        <f>IFERROR(__xludf.DUMMYFUNCTION("""COMPUTED_VALUE"""),"U.S. Embassy Bridgetown")</f>
        <v>U.S. Embassy Bridgetown</v>
      </c>
      <c r="D1185" s="59" t="str">
        <f>IFERROR(__xludf.DUMMYFUNCTION("""COMPUTED_VALUE"""),"Flickr")</f>
        <v>Flickr</v>
      </c>
      <c r="E1185" s="60" t="str">
        <f>IFERROR(__xludf.DUMMYFUNCTION("""COMPUTED_VALUE"""),"https://www.flickr.com/photos/pasbridgetown")</f>
        <v>https://www.flickr.com/photos/pasbridgetown</v>
      </c>
    </row>
    <row r="1186">
      <c r="A1186" s="59" t="str">
        <f>IFERROR(__xludf.DUMMYFUNCTION("""COMPUTED_VALUE"""),"WHA")</f>
        <v>WHA</v>
      </c>
      <c r="B1186" s="59" t="str">
        <f>IFERROR(__xludf.DUMMYFUNCTION("""COMPUTED_VALUE"""),"Belize")</f>
        <v>Belize</v>
      </c>
      <c r="C1186" s="59" t="str">
        <f>IFERROR(__xludf.DUMMYFUNCTION("""COMPUTED_VALUE"""),"U.S. Embassy Belmopan")</f>
        <v>U.S. Embassy Belmopan</v>
      </c>
      <c r="D1186" s="59" t="str">
        <f>IFERROR(__xludf.DUMMYFUNCTION("""COMPUTED_VALUE"""),"Facebook")</f>
        <v>Facebook</v>
      </c>
      <c r="E1186" s="60" t="str">
        <f>IFERROR(__xludf.DUMMYFUNCTION("""COMPUTED_VALUE"""),"https://www.facebook.com/USMissionBelize/")</f>
        <v>https://www.facebook.com/USMissionBelize/</v>
      </c>
    </row>
    <row r="1187">
      <c r="A1187" s="59" t="str">
        <f>IFERROR(__xludf.DUMMYFUNCTION("""COMPUTED_VALUE"""),"WHA")</f>
        <v>WHA</v>
      </c>
      <c r="B1187" s="59" t="str">
        <f>IFERROR(__xludf.DUMMYFUNCTION("""COMPUTED_VALUE"""),"Belize")</f>
        <v>Belize</v>
      </c>
      <c r="C1187" s="59" t="str">
        <f>IFERROR(__xludf.DUMMYFUNCTION("""COMPUTED_VALUE"""),"U.S. Embassy Belmopan")</f>
        <v>U.S. Embassy Belmopan</v>
      </c>
      <c r="D1187" s="59" t="str">
        <f>IFERROR(__xludf.DUMMYFUNCTION("""COMPUTED_VALUE"""),"Instagram")</f>
        <v>Instagram</v>
      </c>
      <c r="E1187" s="60" t="str">
        <f>IFERROR(__xludf.DUMMYFUNCTION("""COMPUTED_VALUE"""),"https://www.instagram.com/usmissionbelize/")</f>
        <v>https://www.instagram.com/usmissionbelize/</v>
      </c>
    </row>
    <row r="1188">
      <c r="A1188" s="59" t="str">
        <f>IFERROR(__xludf.DUMMYFUNCTION("""COMPUTED_VALUE"""),"WHA")</f>
        <v>WHA</v>
      </c>
      <c r="B1188" s="59" t="str">
        <f>IFERROR(__xludf.DUMMYFUNCTION("""COMPUTED_VALUE"""),"Belize")</f>
        <v>Belize</v>
      </c>
      <c r="C1188" s="59" t="str">
        <f>IFERROR(__xludf.DUMMYFUNCTION("""COMPUTED_VALUE"""),"U.S. Embassy Belmopan")</f>
        <v>U.S. Embassy Belmopan</v>
      </c>
      <c r="D1188" s="59" t="str">
        <f>IFERROR(__xludf.DUMMYFUNCTION("""COMPUTED_VALUE"""),"X")</f>
        <v>X</v>
      </c>
      <c r="E1188" s="60" t="str">
        <f>IFERROR(__xludf.DUMMYFUNCTION("""COMPUTED_VALUE"""),"https://x.com/USMissionBelize")</f>
        <v>https://x.com/USMissionBelize</v>
      </c>
    </row>
    <row r="1189">
      <c r="A1189" s="59" t="str">
        <f>IFERROR(__xludf.DUMMYFUNCTION("""COMPUTED_VALUE"""),"WHA")</f>
        <v>WHA</v>
      </c>
      <c r="B1189" s="59" t="str">
        <f>IFERROR(__xludf.DUMMYFUNCTION("""COMPUTED_VALUE"""),"Belize")</f>
        <v>Belize</v>
      </c>
      <c r="C1189" s="59" t="str">
        <f>IFERROR(__xludf.DUMMYFUNCTION("""COMPUTED_VALUE"""),"U.S. Embassy Belmopan")</f>
        <v>U.S. Embassy Belmopan</v>
      </c>
      <c r="D1189" s="59" t="str">
        <f>IFERROR(__xludf.DUMMYFUNCTION("""COMPUTED_VALUE"""),"YouTube")</f>
        <v>YouTube</v>
      </c>
      <c r="E1189" s="60" t="str">
        <f>IFERROR(__xludf.DUMMYFUNCTION("""COMPUTED_VALUE"""),"youtube.com/channel/UCYwtJ0EVVwoq5MwjfPbHmNw")</f>
        <v>youtube.com/channel/UCYwtJ0EVVwoq5MwjfPbHmNw</v>
      </c>
    </row>
    <row r="1190">
      <c r="A1190" s="59" t="str">
        <f>IFERROR(__xludf.DUMMYFUNCTION("""COMPUTED_VALUE"""),"WHA")</f>
        <v>WHA</v>
      </c>
      <c r="B1190" s="59" t="str">
        <f>IFERROR(__xludf.DUMMYFUNCTION("""COMPUTED_VALUE"""),"Bolivia")</f>
        <v>Bolivia</v>
      </c>
      <c r="C1190" s="59" t="str">
        <f>IFERROR(__xludf.DUMMYFUNCTION("""COMPUTED_VALUE"""),"U.S. Embassy La Paz")</f>
        <v>U.S. Embassy La Paz</v>
      </c>
      <c r="D1190" s="59" t="str">
        <f>IFERROR(__xludf.DUMMYFUNCTION("""COMPUTED_VALUE"""),"Facebook")</f>
        <v>Facebook</v>
      </c>
      <c r="E1190" s="60" t="str">
        <f>IFERROR(__xludf.DUMMYFUNCTION("""COMPUTED_VALUE"""),"https://www.facebook.com/usdos.bolivia/")</f>
        <v>https://www.facebook.com/usdos.bolivia/</v>
      </c>
    </row>
    <row r="1191">
      <c r="A1191" s="59" t="str">
        <f>IFERROR(__xludf.DUMMYFUNCTION("""COMPUTED_VALUE"""),"WHA")</f>
        <v>WHA</v>
      </c>
      <c r="B1191" s="59" t="str">
        <f>IFERROR(__xludf.DUMMYFUNCTION("""COMPUTED_VALUE"""),"Bolivia")</f>
        <v>Bolivia</v>
      </c>
      <c r="C1191" s="59" t="str">
        <f>IFERROR(__xludf.DUMMYFUNCTION("""COMPUTED_VALUE"""),"U.S. Embassy La Paz")</f>
        <v>U.S. Embassy La Paz</v>
      </c>
      <c r="D1191" s="59" t="str">
        <f>IFERROR(__xludf.DUMMYFUNCTION("""COMPUTED_VALUE"""),"Flickr")</f>
        <v>Flickr</v>
      </c>
      <c r="E1191" s="60" t="str">
        <f>IFERROR(__xludf.DUMMYFUNCTION("""COMPUTED_VALUE"""),"https://www.flickr.com/photos/usembassybolivia/")</f>
        <v>https://www.flickr.com/photos/usembassybolivia/</v>
      </c>
    </row>
    <row r="1192">
      <c r="A1192" s="59" t="str">
        <f>IFERROR(__xludf.DUMMYFUNCTION("""COMPUTED_VALUE"""),"WHA")</f>
        <v>WHA</v>
      </c>
      <c r="B1192" s="59" t="str">
        <f>IFERROR(__xludf.DUMMYFUNCTION("""COMPUTED_VALUE"""),"Bolivia")</f>
        <v>Bolivia</v>
      </c>
      <c r="C1192" s="59" t="str">
        <f>IFERROR(__xludf.DUMMYFUNCTION("""COMPUTED_VALUE"""),"U.S. Embassy La Paz")</f>
        <v>U.S. Embassy La Paz</v>
      </c>
      <c r="D1192" s="59" t="str">
        <f>IFERROR(__xludf.DUMMYFUNCTION("""COMPUTED_VALUE"""),"Instagram")</f>
        <v>Instagram</v>
      </c>
      <c r="E1192" s="60" t="str">
        <f>IFERROR(__xludf.DUMMYFUNCTION("""COMPUTED_VALUE"""),"https://www.instagram.com/usembassybolivia")</f>
        <v>https://www.instagram.com/usembassybolivia</v>
      </c>
    </row>
    <row r="1193">
      <c r="A1193" s="59" t="str">
        <f>IFERROR(__xludf.DUMMYFUNCTION("""COMPUTED_VALUE"""),"WHA")</f>
        <v>WHA</v>
      </c>
      <c r="B1193" s="59" t="str">
        <f>IFERROR(__xludf.DUMMYFUNCTION("""COMPUTED_VALUE"""),"Bolivia")</f>
        <v>Bolivia</v>
      </c>
      <c r="C1193" s="59" t="str">
        <f>IFERROR(__xludf.DUMMYFUNCTION("""COMPUTED_VALUE"""),"U.S. Embassy La Paz")</f>
        <v>U.S. Embassy La Paz</v>
      </c>
      <c r="D1193" s="59" t="str">
        <f>IFERROR(__xludf.DUMMYFUNCTION("""COMPUTED_VALUE"""),"X")</f>
        <v>X</v>
      </c>
      <c r="E1193" s="60" t="str">
        <f>IFERROR(__xludf.DUMMYFUNCTION("""COMPUTED_VALUE"""),"https://x.com/EmbEUAenBolivia")</f>
        <v>https://x.com/EmbEUAenBolivia</v>
      </c>
    </row>
    <row r="1194">
      <c r="A1194" s="59" t="str">
        <f>IFERROR(__xludf.DUMMYFUNCTION("""COMPUTED_VALUE"""),"WHA")</f>
        <v>WHA</v>
      </c>
      <c r="B1194" s="59" t="str">
        <f>IFERROR(__xludf.DUMMYFUNCTION("""COMPUTED_VALUE"""),"Bolivia")</f>
        <v>Bolivia</v>
      </c>
      <c r="C1194" s="59" t="str">
        <f>IFERROR(__xludf.DUMMYFUNCTION("""COMPUTED_VALUE"""),"U.S. Embassy La Paz")</f>
        <v>U.S. Embassy La Paz</v>
      </c>
      <c r="D1194" s="59" t="str">
        <f>IFERROR(__xludf.DUMMYFUNCTION("""COMPUTED_VALUE"""),"YouTube")</f>
        <v>YouTube</v>
      </c>
      <c r="E1194" s="60" t="str">
        <f>IFERROR(__xludf.DUMMYFUNCTION("""COMPUTED_VALUE"""),"youtube.com/user/USEMBASSYLAPAZ")</f>
        <v>youtube.com/user/USEMBASSYLAPAZ</v>
      </c>
    </row>
    <row r="1195">
      <c r="A1195" s="59" t="str">
        <f>IFERROR(__xludf.DUMMYFUNCTION("""COMPUTED_VALUE"""),"WHA")</f>
        <v>WHA</v>
      </c>
      <c r="B1195" s="59" t="str">
        <f>IFERROR(__xludf.DUMMYFUNCTION("""COMPUTED_VALUE"""),"Bolivia")</f>
        <v>Bolivia</v>
      </c>
      <c r="C1195" s="59" t="str">
        <f>IFERROR(__xludf.DUMMYFUNCTION("""COMPUTED_VALUE"""),"U.S. Embassy La Paz")</f>
        <v>U.S. Embassy La Paz</v>
      </c>
      <c r="D1195" s="59" t="str">
        <f>IFERROR(__xludf.DUMMYFUNCTION("""COMPUTED_VALUE"""),"SoundCloud")</f>
        <v>SoundCloud</v>
      </c>
      <c r="E1195" s="60" t="str">
        <f>IFERROR(__xludf.DUMMYFUNCTION("""COMPUTED_VALUE"""),"https://soundcloud.com/usembassylapaz")</f>
        <v>https://soundcloud.com/usembassylapaz</v>
      </c>
    </row>
    <row r="1196">
      <c r="A1196" s="59" t="str">
        <f>IFERROR(__xludf.DUMMYFUNCTION("""COMPUTED_VALUE"""),"WHA")</f>
        <v>WHA</v>
      </c>
      <c r="B1196" s="59" t="str">
        <f>IFERROR(__xludf.DUMMYFUNCTION("""COMPUTED_VALUE"""),"Brazil")</f>
        <v>Brazil</v>
      </c>
      <c r="C1196" s="59" t="str">
        <f>IFERROR(__xludf.DUMMYFUNCTION("""COMPUTED_VALUE"""),"American Citizen Services Brazil")</f>
        <v>American Citizen Services Brazil</v>
      </c>
      <c r="D1196" s="59" t="str">
        <f>IFERROR(__xludf.DUMMYFUNCTION("""COMPUTED_VALUE"""),"X")</f>
        <v>X</v>
      </c>
      <c r="E1196" s="60" t="str">
        <f>IFERROR(__xludf.DUMMYFUNCTION("""COMPUTED_VALUE"""),"https://x.com/USCitsBrazil")</f>
        <v>https://x.com/USCitsBrazil</v>
      </c>
    </row>
    <row r="1197">
      <c r="A1197" s="59" t="str">
        <f>IFERROR(__xludf.DUMMYFUNCTION("""COMPUTED_VALUE"""),"WHA")</f>
        <v>WHA</v>
      </c>
      <c r="B1197" s="59" t="str">
        <f>IFERROR(__xludf.DUMMYFUNCTION("""COMPUTED_VALUE"""),"Brazil")</f>
        <v>Brazil</v>
      </c>
      <c r="C1197" s="59" t="str">
        <f>IFERROR(__xludf.DUMMYFUNCTION("""COMPUTED_VALUE"""),"American Citizen Services Brazil")</f>
        <v>American Citizen Services Brazil</v>
      </c>
      <c r="D1197" s="59" t="str">
        <f>IFERROR(__xludf.DUMMYFUNCTION("""COMPUTED_VALUE"""),"WhatsApp")</f>
        <v>WhatsApp</v>
      </c>
      <c r="E1197" s="60" t="str">
        <f>IFERROR(__xludf.DUMMYFUNCTION("""COMPUTED_VALUE"""),"https://whatsapp.com/channel/0029Vairm8jBKfhzWYUh5v1i")</f>
        <v>https://whatsapp.com/channel/0029Vairm8jBKfhzWYUh5v1i</v>
      </c>
    </row>
    <row r="1198">
      <c r="A1198" s="59" t="str">
        <f>IFERROR(__xludf.DUMMYFUNCTION("""COMPUTED_VALUE"""),"WHA")</f>
        <v>WHA</v>
      </c>
      <c r="B1198" s="59" t="str">
        <f>IFERROR(__xludf.DUMMYFUNCTION("""COMPUTED_VALUE"""),"Brazil")</f>
        <v>Brazil</v>
      </c>
      <c r="C1198" s="59" t="str">
        <f>IFERROR(__xludf.DUMMYFUNCTION("""COMPUTED_VALUE"""),"U.S. Ambassador to Brazil")</f>
        <v>U.S. Ambassador to Brazil</v>
      </c>
      <c r="D1198" s="59" t="str">
        <f>IFERROR(__xludf.DUMMYFUNCTION("""COMPUTED_VALUE"""),"X")</f>
        <v>X</v>
      </c>
      <c r="E1198" s="60" t="str">
        <f>IFERROR(__xludf.DUMMYFUNCTION("""COMPUTED_VALUE"""),"https://x.com/USAmbBR")</f>
        <v>https://x.com/USAmbBR</v>
      </c>
    </row>
    <row r="1199">
      <c r="A1199" s="59" t="str">
        <f>IFERROR(__xludf.DUMMYFUNCTION("""COMPUTED_VALUE"""),"WHA")</f>
        <v>WHA</v>
      </c>
      <c r="B1199" s="59" t="str">
        <f>IFERROR(__xludf.DUMMYFUNCTION("""COMPUTED_VALUE"""),"Brazil")</f>
        <v>Brazil</v>
      </c>
      <c r="C1199" s="59" t="str">
        <f>IFERROR(__xludf.DUMMYFUNCTION("""COMPUTED_VALUE"""),"U.S. Consulate General Recife")</f>
        <v>U.S. Consulate General Recife</v>
      </c>
      <c r="D1199" s="59" t="str">
        <f>IFERROR(__xludf.DUMMYFUNCTION("""COMPUTED_VALUE"""),"Instagram")</f>
        <v>Instagram</v>
      </c>
      <c r="E1199" s="60" t="str">
        <f>IFERROR(__xludf.DUMMYFUNCTION("""COMPUTED_VALUE"""),"https://www.instagram.com/consuladoeua_nordeste")</f>
        <v>https://www.instagram.com/consuladoeua_nordeste</v>
      </c>
    </row>
    <row r="1200">
      <c r="A1200" s="59" t="str">
        <f>IFERROR(__xludf.DUMMYFUNCTION("""COMPUTED_VALUE"""),"WHA")</f>
        <v>WHA</v>
      </c>
      <c r="B1200" s="59" t="str">
        <f>IFERROR(__xludf.DUMMYFUNCTION("""COMPUTED_VALUE"""),"Brazil")</f>
        <v>Brazil</v>
      </c>
      <c r="C1200" s="59" t="str">
        <f>IFERROR(__xludf.DUMMYFUNCTION("""COMPUTED_VALUE"""),"U.S. Consulate General Rio de Janeiro")</f>
        <v>U.S. Consulate General Rio de Janeiro</v>
      </c>
      <c r="D1200" s="59" t="str">
        <f>IFERROR(__xludf.DUMMYFUNCTION("""COMPUTED_VALUE"""),"Facebook")</f>
        <v>Facebook</v>
      </c>
      <c r="E1200" s="60" t="str">
        <f>IFERROR(__xludf.DUMMYFUNCTION("""COMPUTED_VALUE"""),"https://www.facebook.com/consuladoeuarj.br/")</f>
        <v>https://www.facebook.com/consuladoeuarj.br/</v>
      </c>
    </row>
    <row r="1201">
      <c r="A1201" s="59" t="str">
        <f>IFERROR(__xludf.DUMMYFUNCTION("""COMPUTED_VALUE"""),"WHA")</f>
        <v>WHA</v>
      </c>
      <c r="B1201" s="59" t="str">
        <f>IFERROR(__xludf.DUMMYFUNCTION("""COMPUTED_VALUE"""),"Brazil")</f>
        <v>Brazil</v>
      </c>
      <c r="C1201" s="59" t="str">
        <f>IFERROR(__xludf.DUMMYFUNCTION("""COMPUTED_VALUE"""),"U.S. Consulate General Rio de Janeiro")</f>
        <v>U.S. Consulate General Rio de Janeiro</v>
      </c>
      <c r="D1201" s="59" t="str">
        <f>IFERROR(__xludf.DUMMYFUNCTION("""COMPUTED_VALUE"""),"Instagram")</f>
        <v>Instagram</v>
      </c>
      <c r="E1201" s="60" t="str">
        <f>IFERROR(__xludf.DUMMYFUNCTION("""COMPUTED_VALUE"""),"https://www.instagram.com/consuladoeua.rio")</f>
        <v>https://www.instagram.com/consuladoeua.rio</v>
      </c>
    </row>
    <row r="1202">
      <c r="A1202" s="59" t="str">
        <f>IFERROR(__xludf.DUMMYFUNCTION("""COMPUTED_VALUE"""),"WHA")</f>
        <v>WHA</v>
      </c>
      <c r="B1202" s="59" t="str">
        <f>IFERROR(__xludf.DUMMYFUNCTION("""COMPUTED_VALUE"""),"Brazil")</f>
        <v>Brazil</v>
      </c>
      <c r="C1202" s="59" t="str">
        <f>IFERROR(__xludf.DUMMYFUNCTION("""COMPUTED_VALUE"""),"U.S. Consulate General Sao Paulo")</f>
        <v>U.S. Consulate General Sao Paulo</v>
      </c>
      <c r="D1202" s="59" t="str">
        <f>IFERROR(__xludf.DUMMYFUNCTION("""COMPUTED_VALUE"""),"Facebook")</f>
        <v>Facebook</v>
      </c>
      <c r="E1202" s="60" t="str">
        <f>IFERROR(__xludf.DUMMYFUNCTION("""COMPUTED_VALUE"""),"https://www.facebook.com/ConsuladoEUASP/")</f>
        <v>https://www.facebook.com/ConsuladoEUASP/</v>
      </c>
    </row>
    <row r="1203">
      <c r="A1203" s="59" t="str">
        <f>IFERROR(__xludf.DUMMYFUNCTION("""COMPUTED_VALUE"""),"WHA")</f>
        <v>WHA</v>
      </c>
      <c r="B1203" s="59" t="str">
        <f>IFERROR(__xludf.DUMMYFUNCTION("""COMPUTED_VALUE"""),"Brazil")</f>
        <v>Brazil</v>
      </c>
      <c r="C1203" s="59" t="str">
        <f>IFERROR(__xludf.DUMMYFUNCTION("""COMPUTED_VALUE"""),"U.S. Consulate General Sao Paulo")</f>
        <v>U.S. Consulate General Sao Paulo</v>
      </c>
      <c r="D1203" s="59" t="str">
        <f>IFERROR(__xludf.DUMMYFUNCTION("""COMPUTED_VALUE"""),"Instagram")</f>
        <v>Instagram</v>
      </c>
      <c r="E1203" s="60" t="str">
        <f>IFERROR(__xludf.DUMMYFUNCTION("""COMPUTED_VALUE"""),"https://www.instagram.com/consuladoeuasp/")</f>
        <v>https://www.instagram.com/consuladoeuasp/</v>
      </c>
    </row>
    <row r="1204">
      <c r="A1204" s="59" t="str">
        <f>IFERROR(__xludf.DUMMYFUNCTION("""COMPUTED_VALUE"""),"WHA")</f>
        <v>WHA</v>
      </c>
      <c r="B1204" s="59" t="str">
        <f>IFERROR(__xludf.DUMMYFUNCTION("""COMPUTED_VALUE"""),"Brazil")</f>
        <v>Brazil</v>
      </c>
      <c r="C1204" s="59" t="str">
        <f>IFERROR(__xludf.DUMMYFUNCTION("""COMPUTED_VALUE"""),"U.S. Embassy Brasilia")</f>
        <v>U.S. Embassy Brasilia</v>
      </c>
      <c r="D1204" s="59" t="str">
        <f>IFERROR(__xludf.DUMMYFUNCTION("""COMPUTED_VALUE"""),"Facebook")</f>
        <v>Facebook</v>
      </c>
      <c r="E1204" s="60" t="str">
        <f>IFERROR(__xludf.DUMMYFUNCTION("""COMPUTED_VALUE"""),"https://www.facebook.com/EmbaixadadosEUA.BR")</f>
        <v>https://www.facebook.com/EmbaixadadosEUA.BR</v>
      </c>
    </row>
    <row r="1205">
      <c r="A1205" s="59" t="str">
        <f>IFERROR(__xludf.DUMMYFUNCTION("""COMPUTED_VALUE"""),"WHA")</f>
        <v>WHA</v>
      </c>
      <c r="B1205" s="59" t="str">
        <f>IFERROR(__xludf.DUMMYFUNCTION("""COMPUTED_VALUE"""),"Brazil")</f>
        <v>Brazil</v>
      </c>
      <c r="C1205" s="59" t="str">
        <f>IFERROR(__xludf.DUMMYFUNCTION("""COMPUTED_VALUE"""),"U.S. Embassy Brasilia")</f>
        <v>U.S. Embassy Brasilia</v>
      </c>
      <c r="D1205" s="59" t="str">
        <f>IFERROR(__xludf.DUMMYFUNCTION("""COMPUTED_VALUE"""),"Flickr")</f>
        <v>Flickr</v>
      </c>
      <c r="E1205" s="60" t="str">
        <f>IFERROR(__xludf.DUMMYFUNCTION("""COMPUTED_VALUE"""),"https://www.flickr.com/photos/embaixadaeua-brasil/")</f>
        <v>https://www.flickr.com/photos/embaixadaeua-brasil/</v>
      </c>
    </row>
    <row r="1206">
      <c r="A1206" s="59" t="str">
        <f>IFERROR(__xludf.DUMMYFUNCTION("""COMPUTED_VALUE"""),"WHA")</f>
        <v>WHA</v>
      </c>
      <c r="B1206" s="59" t="str">
        <f>IFERROR(__xludf.DUMMYFUNCTION("""COMPUTED_VALUE"""),"Brazil")</f>
        <v>Brazil</v>
      </c>
      <c r="C1206" s="59" t="str">
        <f>IFERROR(__xludf.DUMMYFUNCTION("""COMPUTED_VALUE"""),"U.S. Embassy Brasilia")</f>
        <v>U.S. Embassy Brasilia</v>
      </c>
      <c r="D1206" s="59" t="str">
        <f>IFERROR(__xludf.DUMMYFUNCTION("""COMPUTED_VALUE"""),"Instagram")</f>
        <v>Instagram</v>
      </c>
      <c r="E1206" s="60" t="str">
        <f>IFERROR(__xludf.DUMMYFUNCTION("""COMPUTED_VALUE"""),"https://www.instagram.com/embaixadaeua")</f>
        <v>https://www.instagram.com/embaixadaeua</v>
      </c>
    </row>
    <row r="1207">
      <c r="A1207" s="59" t="str">
        <f>IFERROR(__xludf.DUMMYFUNCTION("""COMPUTED_VALUE"""),"WHA")</f>
        <v>WHA</v>
      </c>
      <c r="B1207" s="59" t="str">
        <f>IFERROR(__xludf.DUMMYFUNCTION("""COMPUTED_VALUE"""),"Brazil")</f>
        <v>Brazil</v>
      </c>
      <c r="C1207" s="59" t="str">
        <f>IFERROR(__xludf.DUMMYFUNCTION("""COMPUTED_VALUE"""),"U.S. Embassy Brasilia")</f>
        <v>U.S. Embassy Brasilia</v>
      </c>
      <c r="D1207" s="59" t="str">
        <f>IFERROR(__xludf.DUMMYFUNCTION("""COMPUTED_VALUE"""),"X")</f>
        <v>X</v>
      </c>
      <c r="E1207" s="60" t="str">
        <f>IFERROR(__xludf.DUMMYFUNCTION("""COMPUTED_VALUE"""),"https://x.com/EmbaixadaEUA")</f>
        <v>https://x.com/EmbaixadaEUA</v>
      </c>
    </row>
    <row r="1208">
      <c r="A1208" s="59" t="str">
        <f>IFERROR(__xludf.DUMMYFUNCTION("""COMPUTED_VALUE"""),"WHA")</f>
        <v>WHA</v>
      </c>
      <c r="B1208" s="59" t="str">
        <f>IFERROR(__xludf.DUMMYFUNCTION("""COMPUTED_VALUE"""),"Brazil")</f>
        <v>Brazil</v>
      </c>
      <c r="C1208" s="59" t="str">
        <f>IFERROR(__xludf.DUMMYFUNCTION("""COMPUTED_VALUE"""),"U.S. Embassy Brasilia")</f>
        <v>U.S. Embassy Brasilia</v>
      </c>
      <c r="D1208" s="59" t="str">
        <f>IFERROR(__xludf.DUMMYFUNCTION("""COMPUTED_VALUE"""),"YouTube")</f>
        <v>YouTube</v>
      </c>
      <c r="E1208" s="60" t="str">
        <f>IFERROR(__xludf.DUMMYFUNCTION("""COMPUTED_VALUE"""),"youtube.com/user/embaixadaeua")</f>
        <v>youtube.com/user/embaixadaeua</v>
      </c>
    </row>
    <row r="1209">
      <c r="A1209" s="59" t="str">
        <f>IFERROR(__xludf.DUMMYFUNCTION("""COMPUTED_VALUE"""),"WHA")</f>
        <v>WHA</v>
      </c>
      <c r="B1209" s="59" t="str">
        <f>IFERROR(__xludf.DUMMYFUNCTION("""COMPUTED_VALUE"""),"Brazil")</f>
        <v>Brazil</v>
      </c>
      <c r="C1209" s="59" t="str">
        <f>IFERROR(__xludf.DUMMYFUNCTION("""COMPUTED_VALUE"""),"U.S. Embassy Brasilia")</f>
        <v>U.S. Embassy Brasilia</v>
      </c>
      <c r="D1209" s="59" t="str">
        <f>IFERROR(__xludf.DUMMYFUNCTION("""COMPUTED_VALUE"""),"LinkedIn")</f>
        <v>LinkedIn</v>
      </c>
      <c r="E1209" s="60" t="str">
        <f>IFERROR(__xludf.DUMMYFUNCTION("""COMPUTED_VALUE"""),"https://www.linkedin.com/company/embaixada-eua/")</f>
        <v>https://www.linkedin.com/company/embaixada-eua/</v>
      </c>
    </row>
    <row r="1210">
      <c r="A1210" s="59" t="str">
        <f>IFERROR(__xludf.DUMMYFUNCTION("""COMPUTED_VALUE"""),"WHA")</f>
        <v>WHA</v>
      </c>
      <c r="B1210" s="59" t="str">
        <f>IFERROR(__xludf.DUMMYFUNCTION("""COMPUTED_VALUE"""),"Canada")</f>
        <v>Canada</v>
      </c>
      <c r="C1210" s="59" t="str">
        <f>IFERROR(__xludf.DUMMYFUNCTION("""COMPUTED_VALUE"""),"U.S. Ambassador to Canada")</f>
        <v>U.S. Ambassador to Canada</v>
      </c>
      <c r="D1210" s="59" t="str">
        <f>IFERROR(__xludf.DUMMYFUNCTION("""COMPUTED_VALUE"""),"X")</f>
        <v>X</v>
      </c>
      <c r="E1210" s="60" t="str">
        <f>IFERROR(__xludf.DUMMYFUNCTION("""COMPUTED_VALUE"""),"https://x.com/usambcanada")</f>
        <v>https://x.com/usambcanada</v>
      </c>
    </row>
    <row r="1211">
      <c r="A1211" s="59" t="str">
        <f>IFERROR(__xludf.DUMMYFUNCTION("""COMPUTED_VALUE"""),"WHA")</f>
        <v>WHA</v>
      </c>
      <c r="B1211" s="59" t="str">
        <f>IFERROR(__xludf.DUMMYFUNCTION("""COMPUTED_VALUE"""),"Canada")</f>
        <v>Canada</v>
      </c>
      <c r="C1211" s="59" t="str">
        <f>IFERROR(__xludf.DUMMYFUNCTION("""COMPUTED_VALUE"""),"U.S. Consulate General Calgary")</f>
        <v>U.S. Consulate General Calgary</v>
      </c>
      <c r="D1211" s="59" t="str">
        <f>IFERROR(__xludf.DUMMYFUNCTION("""COMPUTED_VALUE"""),"Facebook")</f>
        <v>Facebook</v>
      </c>
      <c r="E1211" s="60" t="str">
        <f>IFERROR(__xludf.DUMMYFUNCTION("""COMPUTED_VALUE"""),"https://www.facebook.com/USConsulateCalgary/")</f>
        <v>https://www.facebook.com/USConsulateCalgary/</v>
      </c>
    </row>
    <row r="1212">
      <c r="A1212" s="59" t="str">
        <f>IFERROR(__xludf.DUMMYFUNCTION("""COMPUTED_VALUE"""),"WHA")</f>
        <v>WHA</v>
      </c>
      <c r="B1212" s="59" t="str">
        <f>IFERROR(__xludf.DUMMYFUNCTION("""COMPUTED_VALUE"""),"Canada")</f>
        <v>Canada</v>
      </c>
      <c r="C1212" s="59" t="str">
        <f>IFERROR(__xludf.DUMMYFUNCTION("""COMPUTED_VALUE"""),"U.S. Consulate General Calgary")</f>
        <v>U.S. Consulate General Calgary</v>
      </c>
      <c r="D1212" s="59" t="str">
        <f>IFERROR(__xludf.DUMMYFUNCTION("""COMPUTED_VALUE"""),"X")</f>
        <v>X</v>
      </c>
      <c r="E1212" s="60" t="str">
        <f>IFERROR(__xludf.DUMMYFUNCTION("""COMPUTED_VALUE"""),"https://x.com/usconscalgary")</f>
        <v>https://x.com/usconscalgary</v>
      </c>
    </row>
    <row r="1213">
      <c r="A1213" s="59" t="str">
        <f>IFERROR(__xludf.DUMMYFUNCTION("""COMPUTED_VALUE"""),"WHA")</f>
        <v>WHA</v>
      </c>
      <c r="B1213" s="59" t="str">
        <f>IFERROR(__xludf.DUMMYFUNCTION("""COMPUTED_VALUE"""),"Canada")</f>
        <v>Canada</v>
      </c>
      <c r="C1213" s="59" t="str">
        <f>IFERROR(__xludf.DUMMYFUNCTION("""COMPUTED_VALUE"""),"U.S. Consulate General Calgary")</f>
        <v>U.S. Consulate General Calgary</v>
      </c>
      <c r="D1213" s="59" t="str">
        <f>IFERROR(__xludf.DUMMYFUNCTION("""COMPUTED_VALUE"""),"Instagram")</f>
        <v>Instagram</v>
      </c>
      <c r="E1213" s="60" t="str">
        <f>IFERROR(__xludf.DUMMYFUNCTION("""COMPUTED_VALUE"""),"https://www.instagram.com/usconscalgary/")</f>
        <v>https://www.instagram.com/usconscalgary/</v>
      </c>
    </row>
    <row r="1214">
      <c r="A1214" s="59" t="str">
        <f>IFERROR(__xludf.DUMMYFUNCTION("""COMPUTED_VALUE"""),"WHA")</f>
        <v>WHA</v>
      </c>
      <c r="B1214" s="59" t="str">
        <f>IFERROR(__xludf.DUMMYFUNCTION("""COMPUTED_VALUE"""),"Canada")</f>
        <v>Canada</v>
      </c>
      <c r="C1214" s="59" t="str">
        <f>IFERROR(__xludf.DUMMYFUNCTION("""COMPUTED_VALUE"""),"U.S. Consulate General Halifax")</f>
        <v>U.S. Consulate General Halifax</v>
      </c>
      <c r="D1214" s="59" t="str">
        <f>IFERROR(__xludf.DUMMYFUNCTION("""COMPUTED_VALUE"""),"X")</f>
        <v>X</v>
      </c>
      <c r="E1214" s="60" t="str">
        <f>IFERROR(__xludf.DUMMYFUNCTION("""COMPUTED_VALUE"""),"https://x.com/usconshalifax")</f>
        <v>https://x.com/usconshalifax</v>
      </c>
    </row>
    <row r="1215">
      <c r="A1215" s="59" t="str">
        <f>IFERROR(__xludf.DUMMYFUNCTION("""COMPUTED_VALUE"""),"WHA")</f>
        <v>WHA</v>
      </c>
      <c r="B1215" s="59" t="str">
        <f>IFERROR(__xludf.DUMMYFUNCTION("""COMPUTED_VALUE"""),"Canada")</f>
        <v>Canada</v>
      </c>
      <c r="C1215" s="59" t="str">
        <f>IFERROR(__xludf.DUMMYFUNCTION("""COMPUTED_VALUE"""),"U.S. Consulate General Halifax")</f>
        <v>U.S. Consulate General Halifax</v>
      </c>
      <c r="D1215" s="59" t="str">
        <f>IFERROR(__xludf.DUMMYFUNCTION("""COMPUTED_VALUE"""),"Facebook")</f>
        <v>Facebook</v>
      </c>
      <c r="E1215" s="60" t="str">
        <f>IFERROR(__xludf.DUMMYFUNCTION("""COMPUTED_VALUE"""),"https://www.facebook.com/usconsulatehalifax/")</f>
        <v>https://www.facebook.com/usconsulatehalifax/</v>
      </c>
    </row>
    <row r="1216">
      <c r="A1216" s="59" t="str">
        <f>IFERROR(__xludf.DUMMYFUNCTION("""COMPUTED_VALUE"""),"WHA")</f>
        <v>WHA</v>
      </c>
      <c r="B1216" s="59" t="str">
        <f>IFERROR(__xludf.DUMMYFUNCTION("""COMPUTED_VALUE"""),"Canada")</f>
        <v>Canada</v>
      </c>
      <c r="C1216" s="59" t="str">
        <f>IFERROR(__xludf.DUMMYFUNCTION("""COMPUTED_VALUE"""),"U.S. Consulate General Montreal")</f>
        <v>U.S. Consulate General Montreal</v>
      </c>
      <c r="D1216" s="59" t="str">
        <f>IFERROR(__xludf.DUMMYFUNCTION("""COMPUTED_VALUE"""),"Facebook")</f>
        <v>Facebook</v>
      </c>
      <c r="E1216" s="60" t="str">
        <f>IFERROR(__xludf.DUMMYFUNCTION("""COMPUTED_VALUE"""),"https://www.facebook.com/U.S.CGMontreal/")</f>
        <v>https://www.facebook.com/U.S.CGMontreal/</v>
      </c>
    </row>
    <row r="1217">
      <c r="A1217" s="59" t="str">
        <f>IFERROR(__xludf.DUMMYFUNCTION("""COMPUTED_VALUE"""),"WHA")</f>
        <v>WHA</v>
      </c>
      <c r="B1217" s="59" t="str">
        <f>IFERROR(__xludf.DUMMYFUNCTION("""COMPUTED_VALUE"""),"Canada")</f>
        <v>Canada</v>
      </c>
      <c r="C1217" s="59" t="str">
        <f>IFERROR(__xludf.DUMMYFUNCTION("""COMPUTED_VALUE"""),"U.S. Consulate General Montreal")</f>
        <v>U.S. Consulate General Montreal</v>
      </c>
      <c r="D1217" s="59" t="str">
        <f>IFERROR(__xludf.DUMMYFUNCTION("""COMPUTED_VALUE"""),"Instagram")</f>
        <v>Instagram</v>
      </c>
      <c r="E1217" s="60" t="str">
        <f>IFERROR(__xludf.DUMMYFUNCTION("""COMPUTED_VALUE"""),"https://www.instagram.com/usconsmontreal/")</f>
        <v>https://www.instagram.com/usconsmontreal/</v>
      </c>
    </row>
    <row r="1218">
      <c r="A1218" s="59" t="str">
        <f>IFERROR(__xludf.DUMMYFUNCTION("""COMPUTED_VALUE"""),"WHA")</f>
        <v>WHA</v>
      </c>
      <c r="B1218" s="59" t="str">
        <f>IFERROR(__xludf.DUMMYFUNCTION("""COMPUTED_VALUE"""),"Canada")</f>
        <v>Canada</v>
      </c>
      <c r="C1218" s="59" t="str">
        <f>IFERROR(__xludf.DUMMYFUNCTION("""COMPUTED_VALUE"""),"U.S. Consulate General Montreal")</f>
        <v>U.S. Consulate General Montreal</v>
      </c>
      <c r="D1218" s="59" t="str">
        <f>IFERROR(__xludf.DUMMYFUNCTION("""COMPUTED_VALUE"""),"LinkedIn")</f>
        <v>LinkedIn</v>
      </c>
      <c r="E1218" s="60" t="str">
        <f>IFERROR(__xludf.DUMMYFUNCTION("""COMPUTED_VALUE"""),"https://www.linkedin.com/company/us-consulate-general-montr%C3%A9al/")</f>
        <v>https://www.linkedin.com/company/us-consulate-general-montr%C3%A9al/</v>
      </c>
    </row>
    <row r="1219">
      <c r="A1219" s="59" t="str">
        <f>IFERROR(__xludf.DUMMYFUNCTION("""COMPUTED_VALUE"""),"WHA")</f>
        <v>WHA</v>
      </c>
      <c r="B1219" s="59" t="str">
        <f>IFERROR(__xludf.DUMMYFUNCTION("""COMPUTED_VALUE"""),"Canada")</f>
        <v>Canada</v>
      </c>
      <c r="C1219" s="59" t="str">
        <f>IFERROR(__xludf.DUMMYFUNCTION("""COMPUTED_VALUE"""),"U.S. Consulate General Montreal")</f>
        <v>U.S. Consulate General Montreal</v>
      </c>
      <c r="D1219" s="59" t="str">
        <f>IFERROR(__xludf.DUMMYFUNCTION("""COMPUTED_VALUE"""),"X")</f>
        <v>X</v>
      </c>
      <c r="E1219" s="60" t="str">
        <f>IFERROR(__xludf.DUMMYFUNCTION("""COMPUTED_VALUE"""),"https://x.com/usconsmontreal")</f>
        <v>https://x.com/usconsmontreal</v>
      </c>
    </row>
    <row r="1220">
      <c r="A1220" s="59" t="str">
        <f>IFERROR(__xludf.DUMMYFUNCTION("""COMPUTED_VALUE"""),"WHA")</f>
        <v>WHA</v>
      </c>
      <c r="B1220" s="59" t="str">
        <f>IFERROR(__xludf.DUMMYFUNCTION("""COMPUTED_VALUE"""),"Canada")</f>
        <v>Canada</v>
      </c>
      <c r="C1220" s="59" t="str">
        <f>IFERROR(__xludf.DUMMYFUNCTION("""COMPUTED_VALUE"""),"U.S. Consulate General Montreal")</f>
        <v>U.S. Consulate General Montreal</v>
      </c>
      <c r="D1220" s="59" t="str">
        <f>IFERROR(__xludf.DUMMYFUNCTION("""COMPUTED_VALUE"""),"YouTube")</f>
        <v>YouTube</v>
      </c>
      <c r="E1220" s="60" t="str">
        <f>IFERROR(__xludf.DUMMYFUNCTION("""COMPUTED_VALUE"""),"https://www.youtube.com/@u.s.consulategeneralmontre4502")</f>
        <v>https://www.youtube.com/@u.s.consulategeneralmontre4502</v>
      </c>
    </row>
    <row r="1221">
      <c r="A1221" s="59" t="str">
        <f>IFERROR(__xludf.DUMMYFUNCTION("""COMPUTED_VALUE"""),"WHA")</f>
        <v>WHA</v>
      </c>
      <c r="B1221" s="59" t="str">
        <f>IFERROR(__xludf.DUMMYFUNCTION("""COMPUTED_VALUE"""),"Canada")</f>
        <v>Canada</v>
      </c>
      <c r="C1221" s="59" t="str">
        <f>IFERROR(__xludf.DUMMYFUNCTION("""COMPUTED_VALUE"""),"U.S. Consulate General Toronto")</f>
        <v>U.S. Consulate General Toronto</v>
      </c>
      <c r="D1221" s="59" t="str">
        <f>IFERROR(__xludf.DUMMYFUNCTION("""COMPUTED_VALUE"""),"Facebook")</f>
        <v>Facebook</v>
      </c>
      <c r="E1221" s="60" t="str">
        <f>IFERROR(__xludf.DUMMYFUNCTION("""COMPUTED_VALUE"""),"https://www.facebook.com/USConsulateToronto/")</f>
        <v>https://www.facebook.com/USConsulateToronto/</v>
      </c>
    </row>
    <row r="1222">
      <c r="A1222" s="59" t="str">
        <f>IFERROR(__xludf.DUMMYFUNCTION("""COMPUTED_VALUE"""),"WHA")</f>
        <v>WHA</v>
      </c>
      <c r="B1222" s="59" t="str">
        <f>IFERROR(__xludf.DUMMYFUNCTION("""COMPUTED_VALUE"""),"Canada")</f>
        <v>Canada</v>
      </c>
      <c r="C1222" s="59" t="str">
        <f>IFERROR(__xludf.DUMMYFUNCTION("""COMPUTED_VALUE"""),"U.S. Consulate General Toronto")</f>
        <v>U.S. Consulate General Toronto</v>
      </c>
      <c r="D1222" s="59" t="str">
        <f>IFERROR(__xludf.DUMMYFUNCTION("""COMPUTED_VALUE"""),"Instagram")</f>
        <v>Instagram</v>
      </c>
      <c r="E1222" s="60" t="str">
        <f>IFERROR(__xludf.DUMMYFUNCTION("""COMPUTED_VALUE"""),"https://www.instagram.com/usconstoronto")</f>
        <v>https://www.instagram.com/usconstoronto</v>
      </c>
    </row>
    <row r="1223">
      <c r="A1223" s="59" t="str">
        <f>IFERROR(__xludf.DUMMYFUNCTION("""COMPUTED_VALUE"""),"WHA")</f>
        <v>WHA</v>
      </c>
      <c r="B1223" s="59" t="str">
        <f>IFERROR(__xludf.DUMMYFUNCTION("""COMPUTED_VALUE"""),"Canada")</f>
        <v>Canada</v>
      </c>
      <c r="C1223" s="59" t="str">
        <f>IFERROR(__xludf.DUMMYFUNCTION("""COMPUTED_VALUE"""),"U.S. Consulate General Toronto")</f>
        <v>U.S. Consulate General Toronto</v>
      </c>
      <c r="D1223" s="59" t="str">
        <f>IFERROR(__xludf.DUMMYFUNCTION("""COMPUTED_VALUE"""),"X")</f>
        <v>X</v>
      </c>
      <c r="E1223" s="60" t="str">
        <f>IFERROR(__xludf.DUMMYFUNCTION("""COMPUTED_VALUE"""),"https://x.com/usconstoronto")</f>
        <v>https://x.com/usconstoronto</v>
      </c>
    </row>
    <row r="1224">
      <c r="A1224" s="59" t="str">
        <f>IFERROR(__xludf.DUMMYFUNCTION("""COMPUTED_VALUE"""),"WHA")</f>
        <v>WHA</v>
      </c>
      <c r="B1224" s="59" t="str">
        <f>IFERROR(__xludf.DUMMYFUNCTION("""COMPUTED_VALUE"""),"Canada")</f>
        <v>Canada</v>
      </c>
      <c r="C1224" s="59" t="str">
        <f>IFERROR(__xludf.DUMMYFUNCTION("""COMPUTED_VALUE"""),"U.S. Consulate General Vancouver")</f>
        <v>U.S. Consulate General Vancouver</v>
      </c>
      <c r="D1224" s="59" t="str">
        <f>IFERROR(__xludf.DUMMYFUNCTION("""COMPUTED_VALUE"""),"Facebook")</f>
        <v>Facebook</v>
      </c>
      <c r="E1224" s="60" t="str">
        <f>IFERROR(__xludf.DUMMYFUNCTION("""COMPUTED_VALUE"""),"https://www.facebook.com/USConsulateVancouver/")</f>
        <v>https://www.facebook.com/USConsulateVancouver/</v>
      </c>
    </row>
    <row r="1225">
      <c r="A1225" s="59" t="str">
        <f>IFERROR(__xludf.DUMMYFUNCTION("""COMPUTED_VALUE"""),"WHA")</f>
        <v>WHA</v>
      </c>
      <c r="B1225" s="59" t="str">
        <f>IFERROR(__xludf.DUMMYFUNCTION("""COMPUTED_VALUE"""),"Canada")</f>
        <v>Canada</v>
      </c>
      <c r="C1225" s="59" t="str">
        <f>IFERROR(__xludf.DUMMYFUNCTION("""COMPUTED_VALUE"""),"U.S. Consulate General Vancouver")</f>
        <v>U.S. Consulate General Vancouver</v>
      </c>
      <c r="D1225" s="59" t="str">
        <f>IFERROR(__xludf.DUMMYFUNCTION("""COMPUTED_VALUE"""),"X")</f>
        <v>X</v>
      </c>
      <c r="E1225" s="60" t="str">
        <f>IFERROR(__xludf.DUMMYFUNCTION("""COMPUTED_VALUE"""),"https://x.com/usconsvancouver")</f>
        <v>https://x.com/usconsvancouver</v>
      </c>
    </row>
    <row r="1226">
      <c r="A1226" s="59" t="str">
        <f>IFERROR(__xludf.DUMMYFUNCTION("""COMPUTED_VALUE"""),"WHA")</f>
        <v>WHA</v>
      </c>
      <c r="B1226" s="59" t="str">
        <f>IFERROR(__xludf.DUMMYFUNCTION("""COMPUTED_VALUE"""),"Canada")</f>
        <v>Canada</v>
      </c>
      <c r="C1226" s="59" t="str">
        <f>IFERROR(__xludf.DUMMYFUNCTION("""COMPUTED_VALUE"""),"U.S. Consulate General Vancouver")</f>
        <v>U.S. Consulate General Vancouver</v>
      </c>
      <c r="D1226" s="59" t="str">
        <f>IFERROR(__xludf.DUMMYFUNCTION("""COMPUTED_VALUE"""),"Instagram")</f>
        <v>Instagram</v>
      </c>
      <c r="E1226" s="60" t="str">
        <f>IFERROR(__xludf.DUMMYFUNCTION("""COMPUTED_VALUE"""),"https://www.instagram.com/usconsvancouver/")</f>
        <v>https://www.instagram.com/usconsvancouver/</v>
      </c>
    </row>
    <row r="1227">
      <c r="A1227" s="59" t="str">
        <f>IFERROR(__xludf.DUMMYFUNCTION("""COMPUTED_VALUE"""),"WHA")</f>
        <v>WHA</v>
      </c>
      <c r="B1227" s="59" t="str">
        <f>IFERROR(__xludf.DUMMYFUNCTION("""COMPUTED_VALUE"""),"Canada")</f>
        <v>Canada</v>
      </c>
      <c r="C1227" s="59" t="str">
        <f>IFERROR(__xludf.DUMMYFUNCTION("""COMPUTED_VALUE"""),"U.S. Consulate General Winnipeg")</f>
        <v>U.S. Consulate General Winnipeg</v>
      </c>
      <c r="D1227" s="59" t="str">
        <f>IFERROR(__xludf.DUMMYFUNCTION("""COMPUTED_VALUE"""),"Facebook")</f>
        <v>Facebook</v>
      </c>
      <c r="E1227" s="60" t="str">
        <f>IFERROR(__xludf.DUMMYFUNCTION("""COMPUTED_VALUE"""),"https://www.facebook.com/USConsulateWinnipeg/")</f>
        <v>https://www.facebook.com/USConsulateWinnipeg/</v>
      </c>
    </row>
    <row r="1228">
      <c r="A1228" s="59" t="str">
        <f>IFERROR(__xludf.DUMMYFUNCTION("""COMPUTED_VALUE"""),"WHA")</f>
        <v>WHA</v>
      </c>
      <c r="B1228" s="59" t="str">
        <f>IFERROR(__xludf.DUMMYFUNCTION("""COMPUTED_VALUE"""),"Canada")</f>
        <v>Canada</v>
      </c>
      <c r="C1228" s="59" t="str">
        <f>IFERROR(__xludf.DUMMYFUNCTION("""COMPUTED_VALUE"""),"U.S. Consulate General Winnipeg")</f>
        <v>U.S. Consulate General Winnipeg</v>
      </c>
      <c r="D1228" s="59" t="str">
        <f>IFERROR(__xludf.DUMMYFUNCTION("""COMPUTED_VALUE"""),"X")</f>
        <v>X</v>
      </c>
      <c r="E1228" s="60" t="str">
        <f>IFERROR(__xludf.DUMMYFUNCTION("""COMPUTED_VALUE"""),"https://x.com/USConsWinnipeg")</f>
        <v>https://x.com/USConsWinnipeg</v>
      </c>
    </row>
    <row r="1229">
      <c r="A1229" s="59" t="str">
        <f>IFERROR(__xludf.DUMMYFUNCTION("""COMPUTED_VALUE"""),"WHA")</f>
        <v>WHA</v>
      </c>
      <c r="B1229" s="59" t="str">
        <f>IFERROR(__xludf.DUMMYFUNCTION("""COMPUTED_VALUE"""),"Canada")</f>
        <v>Canada</v>
      </c>
      <c r="C1229" s="59" t="str">
        <f>IFERROR(__xludf.DUMMYFUNCTION("""COMPUTED_VALUE"""),"U.S. Consulate Quebec")</f>
        <v>U.S. Consulate Quebec</v>
      </c>
      <c r="D1229" s="59" t="str">
        <f>IFERROR(__xludf.DUMMYFUNCTION("""COMPUTED_VALUE"""),"Facebook")</f>
        <v>Facebook</v>
      </c>
      <c r="E1229" s="60" t="str">
        <f>IFERROR(__xludf.DUMMYFUNCTION("""COMPUTED_VALUE"""),"https://www.facebook.com/USConsulateQuebec/")</f>
        <v>https://www.facebook.com/USConsulateQuebec/</v>
      </c>
    </row>
    <row r="1230">
      <c r="A1230" s="59" t="str">
        <f>IFERROR(__xludf.DUMMYFUNCTION("""COMPUTED_VALUE"""),"WHA")</f>
        <v>WHA</v>
      </c>
      <c r="B1230" s="59" t="str">
        <f>IFERROR(__xludf.DUMMYFUNCTION("""COMPUTED_VALUE"""),"Canada")</f>
        <v>Canada</v>
      </c>
      <c r="C1230" s="59" t="str">
        <f>IFERROR(__xludf.DUMMYFUNCTION("""COMPUTED_VALUE"""),"U.S. Consulate Quebec")</f>
        <v>U.S. Consulate Quebec</v>
      </c>
      <c r="D1230" s="59" t="str">
        <f>IFERROR(__xludf.DUMMYFUNCTION("""COMPUTED_VALUE"""),"X")</f>
        <v>X</v>
      </c>
      <c r="E1230" s="60" t="str">
        <f>IFERROR(__xludf.DUMMYFUNCTION("""COMPUTED_VALUE"""),"https://x.com/usconsquebec")</f>
        <v>https://x.com/usconsquebec</v>
      </c>
    </row>
    <row r="1231">
      <c r="A1231" s="59" t="str">
        <f>IFERROR(__xludf.DUMMYFUNCTION("""COMPUTED_VALUE"""),"WHA")</f>
        <v>WHA</v>
      </c>
      <c r="B1231" s="59" t="str">
        <f>IFERROR(__xludf.DUMMYFUNCTION("""COMPUTED_VALUE"""),"Canada")</f>
        <v>Canada</v>
      </c>
      <c r="C1231" s="59" t="str">
        <f>IFERROR(__xludf.DUMMYFUNCTION("""COMPUTED_VALUE"""),"U.S. Embassy Ottawa")</f>
        <v>U.S. Embassy Ottawa</v>
      </c>
      <c r="D1231" s="59" t="str">
        <f>IFERROR(__xludf.DUMMYFUNCTION("""COMPUTED_VALUE"""),"Facebook")</f>
        <v>Facebook</v>
      </c>
      <c r="E1231" s="60" t="str">
        <f>IFERROR(__xludf.DUMMYFUNCTION("""COMPUTED_VALUE"""),"https://www.facebook.com/canada.usembassy/")</f>
        <v>https://www.facebook.com/canada.usembassy/</v>
      </c>
    </row>
    <row r="1232">
      <c r="A1232" s="59" t="str">
        <f>IFERROR(__xludf.DUMMYFUNCTION("""COMPUTED_VALUE"""),"WHA")</f>
        <v>WHA</v>
      </c>
      <c r="B1232" s="59" t="str">
        <f>IFERROR(__xludf.DUMMYFUNCTION("""COMPUTED_VALUE"""),"Canada")</f>
        <v>Canada</v>
      </c>
      <c r="C1232" s="59" t="str">
        <f>IFERROR(__xludf.DUMMYFUNCTION("""COMPUTED_VALUE"""),"U.S. Embassy Ottawa")</f>
        <v>U.S. Embassy Ottawa</v>
      </c>
      <c r="D1232" s="59" t="str">
        <f>IFERROR(__xludf.DUMMYFUNCTION("""COMPUTED_VALUE"""),"Flickr")</f>
        <v>Flickr</v>
      </c>
      <c r="E1232" s="60" t="str">
        <f>IFERROR(__xludf.DUMMYFUNCTION("""COMPUTED_VALUE"""),"https://www.flickr.com/photos/us_mission_canada/")</f>
        <v>https://www.flickr.com/photos/us_mission_canada/</v>
      </c>
    </row>
    <row r="1233">
      <c r="A1233" s="59" t="str">
        <f>IFERROR(__xludf.DUMMYFUNCTION("""COMPUTED_VALUE"""),"WHA")</f>
        <v>WHA</v>
      </c>
      <c r="B1233" s="59" t="str">
        <f>IFERROR(__xludf.DUMMYFUNCTION("""COMPUTED_VALUE"""),"Canada")</f>
        <v>Canada</v>
      </c>
      <c r="C1233" s="59" t="str">
        <f>IFERROR(__xludf.DUMMYFUNCTION("""COMPUTED_VALUE"""),"U.S. Embassy Ottawa")</f>
        <v>U.S. Embassy Ottawa</v>
      </c>
      <c r="D1233" s="59" t="str">
        <f>IFERROR(__xludf.DUMMYFUNCTION("""COMPUTED_VALUE"""),"Instagram")</f>
        <v>Instagram</v>
      </c>
      <c r="E1233" s="60" t="str">
        <f>IFERROR(__xludf.DUMMYFUNCTION("""COMPUTED_VALUE"""),"https://www.instagram.com/usembassyottawa")</f>
        <v>https://www.instagram.com/usembassyottawa</v>
      </c>
    </row>
    <row r="1234">
      <c r="A1234" s="59" t="str">
        <f>IFERROR(__xludf.DUMMYFUNCTION("""COMPUTED_VALUE"""),"WHA")</f>
        <v>WHA</v>
      </c>
      <c r="B1234" s="59" t="str">
        <f>IFERROR(__xludf.DUMMYFUNCTION("""COMPUTED_VALUE"""),"Canada")</f>
        <v>Canada</v>
      </c>
      <c r="C1234" s="59" t="str">
        <f>IFERROR(__xludf.DUMMYFUNCTION("""COMPUTED_VALUE"""),"U.S. Embassy Ottawa")</f>
        <v>U.S. Embassy Ottawa</v>
      </c>
      <c r="D1234" s="59" t="str">
        <f>IFERROR(__xludf.DUMMYFUNCTION("""COMPUTED_VALUE"""),"LinkedIn")</f>
        <v>LinkedIn</v>
      </c>
      <c r="E1234" s="60" t="str">
        <f>IFERROR(__xludf.DUMMYFUNCTION("""COMPUTED_VALUE"""),"https://www.linkedin.com/company/us-embassy-ottawa/")</f>
        <v>https://www.linkedin.com/company/us-embassy-ottawa/</v>
      </c>
    </row>
    <row r="1235">
      <c r="A1235" s="59" t="str">
        <f>IFERROR(__xludf.DUMMYFUNCTION("""COMPUTED_VALUE"""),"WHA")</f>
        <v>WHA</v>
      </c>
      <c r="B1235" s="59" t="str">
        <f>IFERROR(__xludf.DUMMYFUNCTION("""COMPUTED_VALUE"""),"Canada")</f>
        <v>Canada</v>
      </c>
      <c r="C1235" s="59" t="str">
        <f>IFERROR(__xludf.DUMMYFUNCTION("""COMPUTED_VALUE"""),"U.S. Embassy Ottawa")</f>
        <v>U.S. Embassy Ottawa</v>
      </c>
      <c r="D1235" s="59" t="str">
        <f>IFERROR(__xludf.DUMMYFUNCTION("""COMPUTED_VALUE"""),"X")</f>
        <v>X</v>
      </c>
      <c r="E1235" s="60" t="str">
        <f>IFERROR(__xludf.DUMMYFUNCTION("""COMPUTED_VALUE"""),"https://x.com/usembassyottawa")</f>
        <v>https://x.com/usembassyottawa</v>
      </c>
    </row>
    <row r="1236">
      <c r="A1236" s="59" t="str">
        <f>IFERROR(__xludf.DUMMYFUNCTION("""COMPUTED_VALUE"""),"WHA")</f>
        <v>WHA</v>
      </c>
      <c r="B1236" s="59" t="str">
        <f>IFERROR(__xludf.DUMMYFUNCTION("""COMPUTED_VALUE"""),"Canada")</f>
        <v>Canada</v>
      </c>
      <c r="C1236" s="59" t="str">
        <f>IFERROR(__xludf.DUMMYFUNCTION("""COMPUTED_VALUE"""),"U.S. Embassy Ottawa")</f>
        <v>U.S. Embassy Ottawa</v>
      </c>
      <c r="D1236" s="59" t="str">
        <f>IFERROR(__xludf.DUMMYFUNCTION("""COMPUTED_VALUE"""),"YouTube")</f>
        <v>YouTube</v>
      </c>
      <c r="E1236" s="60" t="str">
        <f>IFERROR(__xludf.DUMMYFUNCTION("""COMPUTED_VALUE"""),"youtube.com/user/USEmbassyOttawa")</f>
        <v>youtube.com/user/USEmbassyOttawa</v>
      </c>
    </row>
    <row r="1237">
      <c r="A1237" s="59" t="str">
        <f>IFERROR(__xludf.DUMMYFUNCTION("""COMPUTED_VALUE"""),"WHA")</f>
        <v>WHA</v>
      </c>
      <c r="B1237" s="59" t="str">
        <f>IFERROR(__xludf.DUMMYFUNCTION("""COMPUTED_VALUE"""),"Chile")</f>
        <v>Chile</v>
      </c>
      <c r="C1237" s="59" t="str">
        <f>IFERROR(__xludf.DUMMYFUNCTION("""COMPUTED_VALUE"""),"U.S. Ambassador to Chile")</f>
        <v>U.S. Ambassador to Chile</v>
      </c>
      <c r="D1237" s="59" t="str">
        <f>IFERROR(__xludf.DUMMYFUNCTION("""COMPUTED_VALUE"""),"X")</f>
        <v>X</v>
      </c>
      <c r="E1237" s="60" t="str">
        <f>IFERROR(__xludf.DUMMYFUNCTION("""COMPUTED_VALUE"""),"https://x.com/USAmbCL")</f>
        <v>https://x.com/USAmbCL</v>
      </c>
    </row>
    <row r="1238">
      <c r="A1238" s="59" t="str">
        <f>IFERROR(__xludf.DUMMYFUNCTION("""COMPUTED_VALUE"""),"WHA")</f>
        <v>WHA</v>
      </c>
      <c r="B1238" s="59" t="str">
        <f>IFERROR(__xludf.DUMMYFUNCTION("""COMPUTED_VALUE"""),"Chile")</f>
        <v>Chile</v>
      </c>
      <c r="C1238" s="59" t="str">
        <f>IFERROR(__xludf.DUMMYFUNCTION("""COMPUTED_VALUE"""),"U.S. Embassy Santiago")</f>
        <v>U.S. Embassy Santiago</v>
      </c>
      <c r="D1238" s="59" t="str">
        <f>IFERROR(__xludf.DUMMYFUNCTION("""COMPUTED_VALUE"""),"Facebook")</f>
        <v>Facebook</v>
      </c>
      <c r="E1238" s="60" t="str">
        <f>IFERROR(__xludf.DUMMYFUNCTION("""COMPUTED_VALUE"""),"https://www.facebook.com/EmbajadaEEUUCl/")</f>
        <v>https://www.facebook.com/EmbajadaEEUUCl/</v>
      </c>
    </row>
    <row r="1239">
      <c r="A1239" s="59" t="str">
        <f>IFERROR(__xludf.DUMMYFUNCTION("""COMPUTED_VALUE"""),"WHA")</f>
        <v>WHA</v>
      </c>
      <c r="B1239" s="59" t="str">
        <f>IFERROR(__xludf.DUMMYFUNCTION("""COMPUTED_VALUE"""),"Chile")</f>
        <v>Chile</v>
      </c>
      <c r="C1239" s="59" t="str">
        <f>IFERROR(__xludf.DUMMYFUNCTION("""COMPUTED_VALUE"""),"U.S. Embassy Santiago")</f>
        <v>U.S. Embassy Santiago</v>
      </c>
      <c r="D1239" s="59" t="str">
        <f>IFERROR(__xludf.DUMMYFUNCTION("""COMPUTED_VALUE"""),"Flickr")</f>
        <v>Flickr</v>
      </c>
      <c r="E1239" s="60" t="str">
        <f>IFERROR(__xludf.DUMMYFUNCTION("""COMPUTED_VALUE"""),"https://www.flickr.com/photos/embajadaeeuu-chile/")</f>
        <v>https://www.flickr.com/photos/embajadaeeuu-chile/</v>
      </c>
    </row>
    <row r="1240">
      <c r="A1240" s="59" t="str">
        <f>IFERROR(__xludf.DUMMYFUNCTION("""COMPUTED_VALUE"""),"WHA")</f>
        <v>WHA</v>
      </c>
      <c r="B1240" s="59" t="str">
        <f>IFERROR(__xludf.DUMMYFUNCTION("""COMPUTED_VALUE"""),"Chile")</f>
        <v>Chile</v>
      </c>
      <c r="C1240" s="59" t="str">
        <f>IFERROR(__xludf.DUMMYFUNCTION("""COMPUTED_VALUE"""),"U.S. Embassy Santiago")</f>
        <v>U.S. Embassy Santiago</v>
      </c>
      <c r="D1240" s="59" t="str">
        <f>IFERROR(__xludf.DUMMYFUNCTION("""COMPUTED_VALUE"""),"Instagram")</f>
        <v>Instagram</v>
      </c>
      <c r="E1240" s="60" t="str">
        <f>IFERROR(__xludf.DUMMYFUNCTION("""COMPUTED_VALUE"""),"https://www.instagram.com/embajadaeeuucl")</f>
        <v>https://www.instagram.com/embajadaeeuucl</v>
      </c>
    </row>
    <row r="1241">
      <c r="A1241" s="59" t="str">
        <f>IFERROR(__xludf.DUMMYFUNCTION("""COMPUTED_VALUE"""),"WHA")</f>
        <v>WHA</v>
      </c>
      <c r="B1241" s="59" t="str">
        <f>IFERROR(__xludf.DUMMYFUNCTION("""COMPUTED_VALUE"""),"Chile")</f>
        <v>Chile</v>
      </c>
      <c r="C1241" s="59" t="str">
        <f>IFERROR(__xludf.DUMMYFUNCTION("""COMPUTED_VALUE"""),"U.S. Embassy Santiago")</f>
        <v>U.S. Embassy Santiago</v>
      </c>
      <c r="D1241" s="59" t="str">
        <f>IFERROR(__xludf.DUMMYFUNCTION("""COMPUTED_VALUE"""),"LinkedIn")</f>
        <v>LinkedIn</v>
      </c>
      <c r="E1241" s="60" t="str">
        <f>IFERROR(__xludf.DUMMYFUNCTION("""COMPUTED_VALUE"""),"https://www.linkedin.com/showcase/u-s-embassy-santiago-chile/")</f>
        <v>https://www.linkedin.com/showcase/u-s-embassy-santiago-chile/</v>
      </c>
    </row>
    <row r="1242">
      <c r="A1242" s="59" t="str">
        <f>IFERROR(__xludf.DUMMYFUNCTION("""COMPUTED_VALUE"""),"WHA")</f>
        <v>WHA</v>
      </c>
      <c r="B1242" s="59" t="str">
        <f>IFERROR(__xludf.DUMMYFUNCTION("""COMPUTED_VALUE"""),"Chile")</f>
        <v>Chile</v>
      </c>
      <c r="C1242" s="59" t="str">
        <f>IFERROR(__xludf.DUMMYFUNCTION("""COMPUTED_VALUE"""),"U.S. Embassy Santiago")</f>
        <v>U.S. Embassy Santiago</v>
      </c>
      <c r="D1242" s="59" t="str">
        <f>IFERROR(__xludf.DUMMYFUNCTION("""COMPUTED_VALUE"""),"X")</f>
        <v>X</v>
      </c>
      <c r="E1242" s="60" t="str">
        <f>IFERROR(__xludf.DUMMYFUNCTION("""COMPUTED_VALUE"""),"https://x.com/EmbajadaEEUUcl")</f>
        <v>https://x.com/EmbajadaEEUUcl</v>
      </c>
    </row>
    <row r="1243">
      <c r="A1243" s="59" t="str">
        <f>IFERROR(__xludf.DUMMYFUNCTION("""COMPUTED_VALUE"""),"WHA")</f>
        <v>WHA</v>
      </c>
      <c r="B1243" s="59" t="str">
        <f>IFERROR(__xludf.DUMMYFUNCTION("""COMPUTED_VALUE"""),"Chile")</f>
        <v>Chile</v>
      </c>
      <c r="C1243" s="59" t="str">
        <f>IFERROR(__xludf.DUMMYFUNCTION("""COMPUTED_VALUE"""),"U.S. Embassy Santiago")</f>
        <v>U.S. Embassy Santiago</v>
      </c>
      <c r="D1243" s="59" t="str">
        <f>IFERROR(__xludf.DUMMYFUNCTION("""COMPUTED_VALUE"""),"YouTube")</f>
        <v>YouTube</v>
      </c>
      <c r="E1243" s="60" t="str">
        <f>IFERROR(__xludf.DUMMYFUNCTION("""COMPUTED_VALUE"""),"youtube.com/user/santiagopress")</f>
        <v>youtube.com/user/santiagopress</v>
      </c>
    </row>
    <row r="1244">
      <c r="A1244" s="59" t="str">
        <f>IFERROR(__xludf.DUMMYFUNCTION("""COMPUTED_VALUE"""),"WHA")</f>
        <v>WHA</v>
      </c>
      <c r="B1244" s="59" t="str">
        <f>IFERROR(__xludf.DUMMYFUNCTION("""COMPUTED_VALUE"""),"Colombia")</f>
        <v>Colombia</v>
      </c>
      <c r="C1244" s="59" t="str">
        <f>IFERROR(__xludf.DUMMYFUNCTION("""COMPUTED_VALUE"""),"U.S. Embassy Bogota")</f>
        <v>U.S. Embassy Bogota</v>
      </c>
      <c r="D1244" s="59" t="str">
        <f>IFERROR(__xludf.DUMMYFUNCTION("""COMPUTED_VALUE"""),"Facebook")</f>
        <v>Facebook</v>
      </c>
      <c r="E1244" s="60" t="str">
        <f>IFERROR(__xludf.DUMMYFUNCTION("""COMPUTED_VALUE"""),"https://www.facebook.com/usdos.colombia/")</f>
        <v>https://www.facebook.com/usdos.colombia/</v>
      </c>
    </row>
    <row r="1245">
      <c r="A1245" s="59" t="str">
        <f>IFERROR(__xludf.DUMMYFUNCTION("""COMPUTED_VALUE"""),"WHA")</f>
        <v>WHA</v>
      </c>
      <c r="B1245" s="59" t="str">
        <f>IFERROR(__xludf.DUMMYFUNCTION("""COMPUTED_VALUE"""),"Colombia")</f>
        <v>Colombia</v>
      </c>
      <c r="C1245" s="59" t="str">
        <f>IFERROR(__xludf.DUMMYFUNCTION("""COMPUTED_VALUE"""),"U.S. Embassy Bogota")</f>
        <v>U.S. Embassy Bogota</v>
      </c>
      <c r="D1245" s="59" t="str">
        <f>IFERROR(__xludf.DUMMYFUNCTION("""COMPUTED_VALUE"""),"Instagram")</f>
        <v>Instagram</v>
      </c>
      <c r="E1245" s="60" t="str">
        <f>IFERROR(__xludf.DUMMYFUNCTION("""COMPUTED_VALUE"""),"https://www.instagram.com/usembassybogota")</f>
        <v>https://www.instagram.com/usembassybogota</v>
      </c>
    </row>
    <row r="1246">
      <c r="A1246" s="59" t="str">
        <f>IFERROR(__xludf.DUMMYFUNCTION("""COMPUTED_VALUE"""),"WHA")</f>
        <v>WHA</v>
      </c>
      <c r="B1246" s="59" t="str">
        <f>IFERROR(__xludf.DUMMYFUNCTION("""COMPUTED_VALUE"""),"Colombia")</f>
        <v>Colombia</v>
      </c>
      <c r="C1246" s="59" t="str">
        <f>IFERROR(__xludf.DUMMYFUNCTION("""COMPUTED_VALUE"""),"U.S. Embassy Bogota")</f>
        <v>U.S. Embassy Bogota</v>
      </c>
      <c r="D1246" s="59" t="str">
        <f>IFERROR(__xludf.DUMMYFUNCTION("""COMPUTED_VALUE"""),"LinkedIn")</f>
        <v>LinkedIn</v>
      </c>
      <c r="E1246" s="60" t="str">
        <f>IFERROR(__xludf.DUMMYFUNCTION("""COMPUTED_VALUE"""),"https://www.linkedin.com/showcase/u-s-embassy-bogot%C3%A1-colombia/")</f>
        <v>https://www.linkedin.com/showcase/u-s-embassy-bogot%C3%A1-colombia/</v>
      </c>
    </row>
    <row r="1247">
      <c r="A1247" s="59" t="str">
        <f>IFERROR(__xludf.DUMMYFUNCTION("""COMPUTED_VALUE"""),"WHA")</f>
        <v>WHA</v>
      </c>
      <c r="B1247" s="59" t="str">
        <f>IFERROR(__xludf.DUMMYFUNCTION("""COMPUTED_VALUE"""),"Colombia")</f>
        <v>Colombia</v>
      </c>
      <c r="C1247" s="59" t="str">
        <f>IFERROR(__xludf.DUMMYFUNCTION("""COMPUTED_VALUE"""),"U.S. Embassy Bogota")</f>
        <v>U.S. Embassy Bogota</v>
      </c>
      <c r="D1247" s="59" t="str">
        <f>IFERROR(__xludf.DUMMYFUNCTION("""COMPUTED_VALUE"""),"X")</f>
        <v>X</v>
      </c>
      <c r="E1247" s="60" t="str">
        <f>IFERROR(__xludf.DUMMYFUNCTION("""COMPUTED_VALUE"""),"https://x.com/USEmbassyBogota")</f>
        <v>https://x.com/USEmbassyBogota</v>
      </c>
    </row>
    <row r="1248">
      <c r="A1248" s="59" t="str">
        <f>IFERROR(__xludf.DUMMYFUNCTION("""COMPUTED_VALUE"""),"WHA")</f>
        <v>WHA</v>
      </c>
      <c r="B1248" s="59" t="str">
        <f>IFERROR(__xludf.DUMMYFUNCTION("""COMPUTED_VALUE"""),"Colombia")</f>
        <v>Colombia</v>
      </c>
      <c r="C1248" s="59" t="str">
        <f>IFERROR(__xludf.DUMMYFUNCTION("""COMPUTED_VALUE"""),"U.S. Embassy Bogota")</f>
        <v>U.S. Embassy Bogota</v>
      </c>
      <c r="D1248" s="59" t="str">
        <f>IFERROR(__xludf.DUMMYFUNCTION("""COMPUTED_VALUE"""),"YouTube")</f>
        <v>YouTube</v>
      </c>
      <c r="E1248" s="60" t="str">
        <f>IFERROR(__xludf.DUMMYFUNCTION("""COMPUTED_VALUE"""),"youtube.com/user/USEmbassyBogota")</f>
        <v>youtube.com/user/USEmbassyBogota</v>
      </c>
    </row>
    <row r="1249">
      <c r="A1249" s="59" t="str">
        <f>IFERROR(__xludf.DUMMYFUNCTION("""COMPUTED_VALUE"""),"WHA")</f>
        <v>WHA</v>
      </c>
      <c r="B1249" s="59" t="str">
        <f>IFERROR(__xludf.DUMMYFUNCTION("""COMPUTED_VALUE"""),"Colombia")</f>
        <v>Colombia</v>
      </c>
      <c r="C1249" s="59" t="str">
        <f>IFERROR(__xludf.DUMMYFUNCTION("""COMPUTED_VALUE"""),"U.S. Embassy Bogota ACS")</f>
        <v>U.S. Embassy Bogota ACS</v>
      </c>
      <c r="D1249" s="59" t="str">
        <f>IFERROR(__xludf.DUMMYFUNCTION("""COMPUTED_VALUE"""),"WhatsApp")</f>
        <v>WhatsApp</v>
      </c>
      <c r="E1249" s="60" t="str">
        <f>IFERROR(__xludf.DUMMYFUNCTION("""COMPUTED_VALUE"""),"https://whatsapp.com/channel/0029VajwMf2LNSa92CocDY2y")</f>
        <v>https://whatsapp.com/channel/0029VajwMf2LNSa92CocDY2y</v>
      </c>
    </row>
    <row r="1250">
      <c r="A1250" s="59" t="str">
        <f>IFERROR(__xludf.DUMMYFUNCTION("""COMPUTED_VALUE"""),"WHA")</f>
        <v>WHA</v>
      </c>
      <c r="B1250" s="59" t="str">
        <f>IFERROR(__xludf.DUMMYFUNCTION("""COMPUTED_VALUE"""),"Costa Rica")</f>
        <v>Costa Rica</v>
      </c>
      <c r="C1250" s="59" t="str">
        <f>IFERROR(__xludf.DUMMYFUNCTION("""COMPUTED_VALUE"""),"U.S. Ambassador to Costa Rica")</f>
        <v>U.S. Ambassador to Costa Rica</v>
      </c>
      <c r="D1250" s="59" t="str">
        <f>IFERROR(__xludf.DUMMYFUNCTION("""COMPUTED_VALUE"""),"X")</f>
        <v>X</v>
      </c>
      <c r="E1250" s="60" t="str">
        <f>IFERROR(__xludf.DUMMYFUNCTION("""COMPUTED_VALUE"""),"https://x.com/usambassadorcr")</f>
        <v>https://x.com/usambassadorcr</v>
      </c>
    </row>
    <row r="1251">
      <c r="A1251" s="59" t="str">
        <f>IFERROR(__xludf.DUMMYFUNCTION("""COMPUTED_VALUE"""),"WHA")</f>
        <v>WHA</v>
      </c>
      <c r="B1251" s="59" t="str">
        <f>IFERROR(__xludf.DUMMYFUNCTION("""COMPUTED_VALUE"""),"Costa Rica")</f>
        <v>Costa Rica</v>
      </c>
      <c r="C1251" s="59" t="str">
        <f>IFERROR(__xludf.DUMMYFUNCTION("""COMPUTED_VALUE"""),"U.S. Embassy San Jose")</f>
        <v>U.S. Embassy San Jose</v>
      </c>
      <c r="D1251" s="59" t="str">
        <f>IFERROR(__xludf.DUMMYFUNCTION("""COMPUTED_VALUE"""),"Facebook")</f>
        <v>Facebook</v>
      </c>
      <c r="E1251" s="60" t="str">
        <f>IFERROR(__xludf.DUMMYFUNCTION("""COMPUTED_VALUE"""),"https://www.facebook.com/sanjose.usembassy/")</f>
        <v>https://www.facebook.com/sanjose.usembassy/</v>
      </c>
    </row>
    <row r="1252">
      <c r="A1252" s="59" t="str">
        <f>IFERROR(__xludf.DUMMYFUNCTION("""COMPUTED_VALUE"""),"WHA")</f>
        <v>WHA</v>
      </c>
      <c r="B1252" s="59" t="str">
        <f>IFERROR(__xludf.DUMMYFUNCTION("""COMPUTED_VALUE"""),"Costa Rica")</f>
        <v>Costa Rica</v>
      </c>
      <c r="C1252" s="59" t="str">
        <f>IFERROR(__xludf.DUMMYFUNCTION("""COMPUTED_VALUE"""),"U.S. Embassy San Jose")</f>
        <v>U.S. Embassy San Jose</v>
      </c>
      <c r="D1252" s="59" t="str">
        <f>IFERROR(__xludf.DUMMYFUNCTION("""COMPUTED_VALUE"""),"Instagram")</f>
        <v>Instagram</v>
      </c>
      <c r="E1252" s="60" t="str">
        <f>IFERROR(__xludf.DUMMYFUNCTION("""COMPUTED_VALUE"""),"https://www.instagram.com/usembassysjo/")</f>
        <v>https://www.instagram.com/usembassysjo/</v>
      </c>
    </row>
    <row r="1253">
      <c r="A1253" s="59" t="str">
        <f>IFERROR(__xludf.DUMMYFUNCTION("""COMPUTED_VALUE"""),"WHA")</f>
        <v>WHA</v>
      </c>
      <c r="B1253" s="59" t="str">
        <f>IFERROR(__xludf.DUMMYFUNCTION("""COMPUTED_VALUE"""),"Costa Rica")</f>
        <v>Costa Rica</v>
      </c>
      <c r="C1253" s="59" t="str">
        <f>IFERROR(__xludf.DUMMYFUNCTION("""COMPUTED_VALUE"""),"U.S. Embassy San Jose")</f>
        <v>U.S. Embassy San Jose</v>
      </c>
      <c r="D1253" s="59" t="str">
        <f>IFERROR(__xludf.DUMMYFUNCTION("""COMPUTED_VALUE"""),"X")</f>
        <v>X</v>
      </c>
      <c r="E1253" s="60" t="str">
        <f>IFERROR(__xludf.DUMMYFUNCTION("""COMPUTED_VALUE"""),"https://x.com/usembassysjo")</f>
        <v>https://x.com/usembassysjo</v>
      </c>
    </row>
    <row r="1254">
      <c r="A1254" s="59" t="str">
        <f>IFERROR(__xludf.DUMMYFUNCTION("""COMPUTED_VALUE"""),"WHA")</f>
        <v>WHA</v>
      </c>
      <c r="B1254" s="59" t="str">
        <f>IFERROR(__xludf.DUMMYFUNCTION("""COMPUTED_VALUE"""),"Costa Rica")</f>
        <v>Costa Rica</v>
      </c>
      <c r="C1254" s="59" t="str">
        <f>IFERROR(__xludf.DUMMYFUNCTION("""COMPUTED_VALUE"""),"U.S. Embassy San Jose")</f>
        <v>U.S. Embassy San Jose</v>
      </c>
      <c r="D1254" s="59" t="str">
        <f>IFERROR(__xludf.DUMMYFUNCTION("""COMPUTED_VALUE"""),"YouTube")</f>
        <v>YouTube</v>
      </c>
      <c r="E1254" s="60" t="str">
        <f>IFERROR(__xludf.DUMMYFUNCTION("""COMPUTED_VALUE"""),"youtube.com/user/usembassysjo")</f>
        <v>youtube.com/user/usembassysjo</v>
      </c>
    </row>
    <row r="1255">
      <c r="A1255" s="59" t="str">
        <f>IFERROR(__xludf.DUMMYFUNCTION("""COMPUTED_VALUE"""),"WHA")</f>
        <v>WHA</v>
      </c>
      <c r="B1255" s="59" t="str">
        <f>IFERROR(__xludf.DUMMYFUNCTION("""COMPUTED_VALUE"""),"Costa Rica")</f>
        <v>Costa Rica</v>
      </c>
      <c r="C1255" s="59" t="str">
        <f>IFERROR(__xludf.DUMMYFUNCTION("""COMPUTED_VALUE"""),"U.S. Embassy San Jose")</f>
        <v>U.S. Embassy San Jose</v>
      </c>
      <c r="D1255" s="59" t="str">
        <f>IFERROR(__xludf.DUMMYFUNCTION("""COMPUTED_VALUE"""),"LinkedIn")</f>
        <v>LinkedIn</v>
      </c>
      <c r="E1255" s="60" t="str">
        <f>IFERROR(__xludf.DUMMYFUNCTION("""COMPUTED_VALUE"""),"https://www.linkedin.com/company/u-s-embassy-in-costa-rica/")</f>
        <v>https://www.linkedin.com/company/u-s-embassy-in-costa-rica/</v>
      </c>
    </row>
    <row r="1256">
      <c r="A1256" s="59" t="str">
        <f>IFERROR(__xludf.DUMMYFUNCTION("""COMPUTED_VALUE"""),"WHA")</f>
        <v>WHA</v>
      </c>
      <c r="B1256" s="59" t="str">
        <f>IFERROR(__xludf.DUMMYFUNCTION("""COMPUTED_VALUE"""),"Costa Rica")</f>
        <v>Costa Rica</v>
      </c>
      <c r="C1256" s="59" t="str">
        <f>IFERROR(__xludf.DUMMYFUNCTION("""COMPUTED_VALUE"""),"U.S. Embassy San Jose")</f>
        <v>U.S. Embassy San Jose</v>
      </c>
      <c r="D1256" s="59" t="str">
        <f>IFERROR(__xludf.DUMMYFUNCTION("""COMPUTED_VALUE"""),"Flickr")</f>
        <v>Flickr</v>
      </c>
      <c r="E1256" s="60" t="str">
        <f>IFERROR(__xludf.DUMMYFUNCTION("""COMPUTED_VALUE"""),"https://www.flickr.com/photos/usembassysjo/")</f>
        <v>https://www.flickr.com/photos/usembassysjo/</v>
      </c>
    </row>
    <row r="1257">
      <c r="A1257" s="59" t="str">
        <f>IFERROR(__xludf.DUMMYFUNCTION("""COMPUTED_VALUE"""),"WHA")</f>
        <v>WHA</v>
      </c>
      <c r="B1257" s="59" t="str">
        <f>IFERROR(__xludf.DUMMYFUNCTION("""COMPUTED_VALUE"""),"Cuba")</f>
        <v>Cuba</v>
      </c>
      <c r="C1257" s="59" t="str">
        <f>IFERROR(__xludf.DUMMYFUNCTION("""COMPUTED_VALUE"""),"U.S. Embassy Havana")</f>
        <v>U.S. Embassy Havana</v>
      </c>
      <c r="D1257" s="59" t="str">
        <f>IFERROR(__xludf.DUMMYFUNCTION("""COMPUTED_VALUE"""),"Facebook")</f>
        <v>Facebook</v>
      </c>
      <c r="E1257" s="60" t="str">
        <f>IFERROR(__xludf.DUMMYFUNCTION("""COMPUTED_VALUE"""),"https://www.facebook.com/USEmbCuba/")</f>
        <v>https://www.facebook.com/USEmbCuba/</v>
      </c>
    </row>
    <row r="1258">
      <c r="A1258" s="59" t="str">
        <f>IFERROR(__xludf.DUMMYFUNCTION("""COMPUTED_VALUE"""),"WHA")</f>
        <v>WHA</v>
      </c>
      <c r="B1258" s="59" t="str">
        <f>IFERROR(__xludf.DUMMYFUNCTION("""COMPUTED_VALUE"""),"Cuba")</f>
        <v>Cuba</v>
      </c>
      <c r="C1258" s="59" t="str">
        <f>IFERROR(__xludf.DUMMYFUNCTION("""COMPUTED_VALUE"""),"U.S. Embassy Havana")</f>
        <v>U.S. Embassy Havana</v>
      </c>
      <c r="D1258" s="59" t="str">
        <f>IFERROR(__xludf.DUMMYFUNCTION("""COMPUTED_VALUE"""),"Instagram")</f>
        <v>Instagram</v>
      </c>
      <c r="E1258" s="60" t="str">
        <f>IFERROR(__xludf.DUMMYFUNCTION("""COMPUTED_VALUE"""),"https://www.instagram.com/usembcuba/")</f>
        <v>https://www.instagram.com/usembcuba/</v>
      </c>
    </row>
    <row r="1259">
      <c r="A1259" s="4" t="str">
        <f>IFERROR(__xludf.DUMMYFUNCTION("""COMPUTED_VALUE"""),"WHA")</f>
        <v>WHA</v>
      </c>
      <c r="B1259" s="4" t="str">
        <f>IFERROR(__xludf.DUMMYFUNCTION("""COMPUTED_VALUE"""),"Cuba")</f>
        <v>Cuba</v>
      </c>
      <c r="C1259" s="4" t="str">
        <f>IFERROR(__xludf.DUMMYFUNCTION("""COMPUTED_VALUE"""),"U.S. Embassy Havana")</f>
        <v>U.S. Embassy Havana</v>
      </c>
      <c r="D1259" s="4" t="str">
        <f>IFERROR(__xludf.DUMMYFUNCTION("""COMPUTED_VALUE"""),"X")</f>
        <v>X</v>
      </c>
      <c r="E1259" s="6" t="str">
        <f>IFERROR(__xludf.DUMMYFUNCTION("""COMPUTED_VALUE"""),"https://x.com/USEmbCuba")</f>
        <v>https://x.com/USEmbCuba</v>
      </c>
    </row>
    <row r="1260">
      <c r="A1260" s="4" t="str">
        <f>IFERROR(__xludf.DUMMYFUNCTION("""COMPUTED_VALUE"""),"WHA")</f>
        <v>WHA</v>
      </c>
      <c r="B1260" s="4" t="str">
        <f>IFERROR(__xludf.DUMMYFUNCTION("""COMPUTED_VALUE"""),"Curacao")</f>
        <v>Curacao</v>
      </c>
      <c r="C1260" s="4" t="str">
        <f>IFERROR(__xludf.DUMMYFUNCTION("""COMPUTED_VALUE"""),"U.S. Consulate General Willemstad")</f>
        <v>U.S. Consulate General Willemstad</v>
      </c>
      <c r="D1260" s="4" t="str">
        <f>IFERROR(__xludf.DUMMYFUNCTION("""COMPUTED_VALUE"""),"Facebook")</f>
        <v>Facebook</v>
      </c>
      <c r="E1260" s="6" t="str">
        <f>IFERROR(__xludf.DUMMYFUNCTION("""COMPUTED_VALUE"""),"https://www.facebook.com/curacao.usconsulate/")</f>
        <v>https://www.facebook.com/curacao.usconsulate/</v>
      </c>
    </row>
    <row r="1261">
      <c r="A1261" s="4" t="str">
        <f>IFERROR(__xludf.DUMMYFUNCTION("""COMPUTED_VALUE"""),"WHA")</f>
        <v>WHA</v>
      </c>
      <c r="B1261" s="4" t="str">
        <f>IFERROR(__xludf.DUMMYFUNCTION("""COMPUTED_VALUE"""),"Curacao")</f>
        <v>Curacao</v>
      </c>
      <c r="C1261" s="4" t="str">
        <f>IFERROR(__xludf.DUMMYFUNCTION("""COMPUTED_VALUE"""),"U.S. Consulate General Willemstad")</f>
        <v>U.S. Consulate General Willemstad</v>
      </c>
      <c r="D1261" s="4" t="str">
        <f>IFERROR(__xludf.DUMMYFUNCTION("""COMPUTED_VALUE"""),"Instagram")</f>
        <v>Instagram</v>
      </c>
      <c r="E1261" s="6" t="str">
        <f>IFERROR(__xludf.DUMMYFUNCTION("""COMPUTED_VALUE"""),"https://www.instagram.com/usaindutchcaribbean/")</f>
        <v>https://www.instagram.com/usaindutchcaribbean/</v>
      </c>
    </row>
    <row r="1262">
      <c r="A1262" s="4" t="str">
        <f>IFERROR(__xludf.DUMMYFUNCTION("""COMPUTED_VALUE"""),"WHA")</f>
        <v>WHA</v>
      </c>
      <c r="B1262" s="4" t="str">
        <f>IFERROR(__xludf.DUMMYFUNCTION("""COMPUTED_VALUE"""),"Dominican Republic")</f>
        <v>Dominican Republic</v>
      </c>
      <c r="C1262" s="4" t="str">
        <f>IFERROR(__xludf.DUMMYFUNCTION("""COMPUTED_VALUE"""),"U.S. Embassy Santo Domingo")</f>
        <v>U.S. Embassy Santo Domingo</v>
      </c>
      <c r="D1262" s="4" t="str">
        <f>IFERROR(__xludf.DUMMYFUNCTION("""COMPUTED_VALUE"""),"Facebook")</f>
        <v>Facebook</v>
      </c>
      <c r="E1262" s="6" t="str">
        <f>IFERROR(__xludf.DUMMYFUNCTION("""COMPUTED_VALUE"""),"https://www.facebook.com/EmbajadaUSAenRD/")</f>
        <v>https://www.facebook.com/EmbajadaUSAenRD/</v>
      </c>
    </row>
    <row r="1263">
      <c r="A1263" s="4" t="str">
        <f>IFERROR(__xludf.DUMMYFUNCTION("""COMPUTED_VALUE"""),"WHA")</f>
        <v>WHA</v>
      </c>
      <c r="B1263" s="4" t="str">
        <f>IFERROR(__xludf.DUMMYFUNCTION("""COMPUTED_VALUE"""),"Dominican Republic")</f>
        <v>Dominican Republic</v>
      </c>
      <c r="C1263" s="4" t="str">
        <f>IFERROR(__xludf.DUMMYFUNCTION("""COMPUTED_VALUE"""),"U.S. Embassy Santo Domingo")</f>
        <v>U.S. Embassy Santo Domingo</v>
      </c>
      <c r="D1263" s="4" t="str">
        <f>IFERROR(__xludf.DUMMYFUNCTION("""COMPUTED_VALUE"""),"Instagram")</f>
        <v>Instagram</v>
      </c>
      <c r="E1263" s="6" t="str">
        <f>IFERROR(__xludf.DUMMYFUNCTION("""COMPUTED_VALUE"""),"https://www.instagram.com/embajadausaenrd")</f>
        <v>https://www.instagram.com/embajadausaenrd</v>
      </c>
    </row>
    <row r="1264">
      <c r="A1264" s="4" t="str">
        <f>IFERROR(__xludf.DUMMYFUNCTION("""COMPUTED_VALUE"""),"WHA")</f>
        <v>WHA</v>
      </c>
      <c r="B1264" s="4" t="str">
        <f>IFERROR(__xludf.DUMMYFUNCTION("""COMPUTED_VALUE"""),"Dominican Republic")</f>
        <v>Dominican Republic</v>
      </c>
      <c r="C1264" s="4" t="str">
        <f>IFERROR(__xludf.DUMMYFUNCTION("""COMPUTED_VALUE"""),"U.S. Embassy Santo Domingo")</f>
        <v>U.S. Embassy Santo Domingo</v>
      </c>
      <c r="D1264" s="4" t="str">
        <f>IFERROR(__xludf.DUMMYFUNCTION("""COMPUTED_VALUE"""),"X")</f>
        <v>X</v>
      </c>
      <c r="E1264" s="6" t="str">
        <f>IFERROR(__xludf.DUMMYFUNCTION("""COMPUTED_VALUE"""),"https://x.com/EmbajadaUSAenRD")</f>
        <v>https://x.com/EmbajadaUSAenRD</v>
      </c>
    </row>
    <row r="1265">
      <c r="A1265" s="4" t="str">
        <f>IFERROR(__xludf.DUMMYFUNCTION("""COMPUTED_VALUE"""),"WHA")</f>
        <v>WHA</v>
      </c>
      <c r="B1265" s="4" t="str">
        <f>IFERROR(__xludf.DUMMYFUNCTION("""COMPUTED_VALUE"""),"Dominican Republic")</f>
        <v>Dominican Republic</v>
      </c>
      <c r="C1265" s="4" t="str">
        <f>IFERROR(__xludf.DUMMYFUNCTION("""COMPUTED_VALUE"""),"U.S. Embassy Santo Domingo")</f>
        <v>U.S. Embassy Santo Domingo</v>
      </c>
      <c r="D1265" s="4" t="str">
        <f>IFERROR(__xludf.DUMMYFUNCTION("""COMPUTED_VALUE"""),"YouTube")</f>
        <v>YouTube</v>
      </c>
      <c r="E1265" s="6" t="str">
        <f>IFERROR(__xludf.DUMMYFUNCTION("""COMPUTED_VALUE"""),"youtube.com/user/embajadausaenrd")</f>
        <v>youtube.com/user/embajadausaenrd</v>
      </c>
    </row>
    <row r="1266">
      <c r="A1266" s="4" t="str">
        <f>IFERROR(__xludf.DUMMYFUNCTION("""COMPUTED_VALUE"""),"WHA")</f>
        <v>WHA</v>
      </c>
      <c r="B1266" s="4" t="str">
        <f>IFERROR(__xludf.DUMMYFUNCTION("""COMPUTED_VALUE"""),"Ecuador")</f>
        <v>Ecuador</v>
      </c>
      <c r="C1266" s="4" t="str">
        <f>IFERROR(__xludf.DUMMYFUNCTION("""COMPUTED_VALUE"""),"U.S. Embassy Quito")</f>
        <v>U.S. Embassy Quito</v>
      </c>
      <c r="D1266" s="4" t="str">
        <f>IFERROR(__xludf.DUMMYFUNCTION("""COMPUTED_VALUE"""),"Facebook")</f>
        <v>Facebook</v>
      </c>
      <c r="E1266" s="6" t="str">
        <f>IFERROR(__xludf.DUMMYFUNCTION("""COMPUTED_VALUE"""),"https://www.facebook.com/USEmbassyEC/")</f>
        <v>https://www.facebook.com/USEmbassyEC/</v>
      </c>
    </row>
    <row r="1267">
      <c r="A1267" s="4" t="str">
        <f>IFERROR(__xludf.DUMMYFUNCTION("""COMPUTED_VALUE"""),"WHA")</f>
        <v>WHA</v>
      </c>
      <c r="B1267" s="4" t="str">
        <f>IFERROR(__xludf.DUMMYFUNCTION("""COMPUTED_VALUE"""),"Ecuador")</f>
        <v>Ecuador</v>
      </c>
      <c r="C1267" s="4" t="str">
        <f>IFERROR(__xludf.DUMMYFUNCTION("""COMPUTED_VALUE"""),"U.S. Embassy Quito")</f>
        <v>U.S. Embassy Quito</v>
      </c>
      <c r="D1267" s="4" t="str">
        <f>IFERROR(__xludf.DUMMYFUNCTION("""COMPUTED_VALUE"""),"Instagram")</f>
        <v>Instagram</v>
      </c>
      <c r="E1267" s="6" t="str">
        <f>IFERROR(__xludf.DUMMYFUNCTION("""COMPUTED_VALUE"""),"https://www.instagram.com/usembassyec/")</f>
        <v>https://www.instagram.com/usembassyec/</v>
      </c>
    </row>
    <row r="1268">
      <c r="A1268" s="4" t="str">
        <f>IFERROR(__xludf.DUMMYFUNCTION("""COMPUTED_VALUE"""),"WHA")</f>
        <v>WHA</v>
      </c>
      <c r="B1268" s="4" t="str">
        <f>IFERROR(__xludf.DUMMYFUNCTION("""COMPUTED_VALUE"""),"Ecuador")</f>
        <v>Ecuador</v>
      </c>
      <c r="C1268" s="4" t="str">
        <f>IFERROR(__xludf.DUMMYFUNCTION("""COMPUTED_VALUE"""),"U.S. Embassy Quito")</f>
        <v>U.S. Embassy Quito</v>
      </c>
      <c r="D1268" s="4" t="str">
        <f>IFERROR(__xludf.DUMMYFUNCTION("""COMPUTED_VALUE"""),"X")</f>
        <v>X</v>
      </c>
      <c r="E1268" s="6" t="str">
        <f>IFERROR(__xludf.DUMMYFUNCTION("""COMPUTED_VALUE"""),"https://x.com/usembassyec")</f>
        <v>https://x.com/usembassyec</v>
      </c>
    </row>
    <row r="1269">
      <c r="A1269" s="4" t="str">
        <f>IFERROR(__xludf.DUMMYFUNCTION("""COMPUTED_VALUE"""),"WHA")</f>
        <v>WHA</v>
      </c>
      <c r="B1269" s="4" t="str">
        <f>IFERROR(__xludf.DUMMYFUNCTION("""COMPUTED_VALUE"""),"Ecuador")</f>
        <v>Ecuador</v>
      </c>
      <c r="C1269" s="4" t="str">
        <f>IFERROR(__xludf.DUMMYFUNCTION("""COMPUTED_VALUE"""),"U.S. Embassy Quito")</f>
        <v>U.S. Embassy Quito</v>
      </c>
      <c r="D1269" s="4" t="str">
        <f>IFERROR(__xludf.DUMMYFUNCTION("""COMPUTED_VALUE"""),"YouTube")</f>
        <v>YouTube</v>
      </c>
      <c r="E1269" s="6" t="str">
        <f>IFERROR(__xludf.DUMMYFUNCTION("""COMPUTED_VALUE"""),"youtube.com/user/USEmbassyQuito")</f>
        <v>youtube.com/user/USEmbassyQuito</v>
      </c>
    </row>
    <row r="1270">
      <c r="A1270" s="4" t="str">
        <f>IFERROR(__xludf.DUMMYFUNCTION("""COMPUTED_VALUE"""),"WHA")</f>
        <v>WHA</v>
      </c>
      <c r="B1270" s="4" t="str">
        <f>IFERROR(__xludf.DUMMYFUNCTION("""COMPUTED_VALUE"""),"El Salvador")</f>
        <v>El Salvador</v>
      </c>
      <c r="C1270" s="4" t="str">
        <f>IFERROR(__xludf.DUMMYFUNCTION("""COMPUTED_VALUE"""),"U.S. Ambassador to El Salvador")</f>
        <v>U.S. Ambassador to El Salvador</v>
      </c>
      <c r="D1270" s="4" t="str">
        <f>IFERROR(__xludf.DUMMYFUNCTION("""COMPUTED_VALUE"""),"X")</f>
        <v>X</v>
      </c>
      <c r="E1270" s="6" t="str">
        <f>IFERROR(__xludf.DUMMYFUNCTION("""COMPUTED_VALUE"""),"https://x.com/usambsv")</f>
        <v>https://x.com/usambsv</v>
      </c>
    </row>
    <row r="1271">
      <c r="A1271" s="4" t="str">
        <f>IFERROR(__xludf.DUMMYFUNCTION("""COMPUTED_VALUE"""),"WHA")</f>
        <v>WHA</v>
      </c>
      <c r="B1271" s="4" t="str">
        <f>IFERROR(__xludf.DUMMYFUNCTION("""COMPUTED_VALUE"""),"El Salvador")</f>
        <v>El Salvador</v>
      </c>
      <c r="C1271" s="4" t="str">
        <f>IFERROR(__xludf.DUMMYFUNCTION("""COMPUTED_VALUE"""),"U.S. Embassy San Salvador")</f>
        <v>U.S. Embassy San Salvador</v>
      </c>
      <c r="D1271" s="4" t="str">
        <f>IFERROR(__xludf.DUMMYFUNCTION("""COMPUTED_VALUE"""),"Facebook")</f>
        <v>Facebook</v>
      </c>
      <c r="E1271" s="6" t="str">
        <f>IFERROR(__xludf.DUMMYFUNCTION("""COMPUTED_VALUE"""),"https://www.facebook.com/embajadaamericanaelsalvador/")</f>
        <v>https://www.facebook.com/embajadaamericanaelsalvador/</v>
      </c>
    </row>
    <row r="1272">
      <c r="A1272" s="4" t="str">
        <f>IFERROR(__xludf.DUMMYFUNCTION("""COMPUTED_VALUE"""),"WHA")</f>
        <v>WHA</v>
      </c>
      <c r="B1272" s="4" t="str">
        <f>IFERROR(__xludf.DUMMYFUNCTION("""COMPUTED_VALUE"""),"El Salvador")</f>
        <v>El Salvador</v>
      </c>
      <c r="C1272" s="4" t="str">
        <f>IFERROR(__xludf.DUMMYFUNCTION("""COMPUTED_VALUE"""),"U.S. Embassy San Salvador")</f>
        <v>U.S. Embassy San Salvador</v>
      </c>
      <c r="D1272" s="4" t="str">
        <f>IFERROR(__xludf.DUMMYFUNCTION("""COMPUTED_VALUE"""),"Instagram")</f>
        <v>Instagram</v>
      </c>
      <c r="E1272" s="6" t="str">
        <f>IFERROR(__xludf.DUMMYFUNCTION("""COMPUTED_VALUE"""),"https://www.instagram.com/usembassysv")</f>
        <v>https://www.instagram.com/usembassysv</v>
      </c>
    </row>
    <row r="1273">
      <c r="A1273" s="59" t="str">
        <f>IFERROR(__xludf.DUMMYFUNCTION("""COMPUTED_VALUE"""),"WHA")</f>
        <v>WHA</v>
      </c>
      <c r="B1273" s="59" t="str">
        <f>IFERROR(__xludf.DUMMYFUNCTION("""COMPUTED_VALUE"""),"El Salvador")</f>
        <v>El Salvador</v>
      </c>
      <c r="C1273" s="59" t="str">
        <f>IFERROR(__xludf.DUMMYFUNCTION("""COMPUTED_VALUE"""),"U.S. Embassy San Salvador")</f>
        <v>U.S. Embassy San Salvador</v>
      </c>
      <c r="D1273" s="59" t="str">
        <f>IFERROR(__xludf.DUMMYFUNCTION("""COMPUTED_VALUE"""),"X")</f>
        <v>X</v>
      </c>
      <c r="E1273" s="60" t="str">
        <f>IFERROR(__xludf.DUMMYFUNCTION("""COMPUTED_VALUE"""),"https://x.com/USEmbassySV")</f>
        <v>https://x.com/USEmbassySV</v>
      </c>
    </row>
    <row r="1274">
      <c r="A1274" s="59" t="str">
        <f>IFERROR(__xludf.DUMMYFUNCTION("""COMPUTED_VALUE"""),"WHA")</f>
        <v>WHA</v>
      </c>
      <c r="B1274" s="59" t="str">
        <f>IFERROR(__xludf.DUMMYFUNCTION("""COMPUTED_VALUE"""),"El Salvador")</f>
        <v>El Salvador</v>
      </c>
      <c r="C1274" s="59" t="str">
        <f>IFERROR(__xludf.DUMMYFUNCTION("""COMPUTED_VALUE"""),"U.S. Embassy San Salvador")</f>
        <v>U.S. Embassy San Salvador</v>
      </c>
      <c r="D1274" s="59" t="str">
        <f>IFERROR(__xludf.DUMMYFUNCTION("""COMPUTED_VALUE"""),"YouTube")</f>
        <v>YouTube</v>
      </c>
      <c r="E1274" s="60" t="str">
        <f>IFERROR(__xludf.DUMMYFUNCTION("""COMPUTED_VALUE"""),"youtube.com/user/usembassyelsalvador")</f>
        <v>youtube.com/user/usembassyelsalvador</v>
      </c>
    </row>
    <row r="1275">
      <c r="A1275" s="59" t="str">
        <f>IFERROR(__xludf.DUMMYFUNCTION("""COMPUTED_VALUE"""),"WHA")</f>
        <v>WHA</v>
      </c>
      <c r="B1275" s="59" t="str">
        <f>IFERROR(__xludf.DUMMYFUNCTION("""COMPUTED_VALUE"""),"El Salvador")</f>
        <v>El Salvador</v>
      </c>
      <c r="C1275" s="59" t="str">
        <f>IFERROR(__xludf.DUMMYFUNCTION("""COMPUTED_VALUE"""),"U.S. Embassy San Salvador")</f>
        <v>U.S. Embassy San Salvador</v>
      </c>
      <c r="D1275" s="59" t="str">
        <f>IFERROR(__xludf.DUMMYFUNCTION("""COMPUTED_VALUE"""),"LinkedIn")</f>
        <v>LinkedIn</v>
      </c>
      <c r="E1275" s="60" t="str">
        <f>IFERROR(__xludf.DUMMYFUNCTION("""COMPUTED_VALUE"""),"https://www.linkedin.com/company/u-s-embassy-in-san-salvador/")</f>
        <v>https://www.linkedin.com/company/u-s-embassy-in-san-salvador/</v>
      </c>
    </row>
    <row r="1276">
      <c r="A1276" s="59" t="str">
        <f>IFERROR(__xludf.DUMMYFUNCTION("""COMPUTED_VALUE"""),"WHA")</f>
        <v>WHA</v>
      </c>
      <c r="B1276" s="59" t="str">
        <f>IFERROR(__xludf.DUMMYFUNCTION("""COMPUTED_VALUE"""),"El Salvador")</f>
        <v>El Salvador</v>
      </c>
      <c r="C1276" s="59" t="str">
        <f>IFERROR(__xludf.DUMMYFUNCTION("""COMPUTED_VALUE"""),"U.S. Embassy San Salvador")</f>
        <v>U.S. Embassy San Salvador</v>
      </c>
      <c r="D1276" s="59" t="str">
        <f>IFERROR(__xludf.DUMMYFUNCTION("""COMPUTED_VALUE"""),"Flickr")</f>
        <v>Flickr</v>
      </c>
      <c r="E1276" s="60" t="str">
        <f>IFERROR(__xludf.DUMMYFUNCTION("""COMPUTED_VALUE"""),"https://www.flickr.com/photos/40236643@N04")</f>
        <v>https://www.flickr.com/photos/40236643@N04</v>
      </c>
    </row>
    <row r="1277">
      <c r="A1277" s="59" t="str">
        <f>IFERROR(__xludf.DUMMYFUNCTION("""COMPUTED_VALUE"""),"WHA")</f>
        <v>WHA</v>
      </c>
      <c r="B1277" s="59" t="str">
        <f>IFERROR(__xludf.DUMMYFUNCTION("""COMPUTED_VALUE"""),"Guatemala")</f>
        <v>Guatemala</v>
      </c>
      <c r="C1277" s="59" t="str">
        <f>IFERROR(__xludf.DUMMYFUNCTION("""COMPUTED_VALUE"""),"U.S. Embassy Guatemala City")</f>
        <v>U.S. Embassy Guatemala City</v>
      </c>
      <c r="D1277" s="59" t="str">
        <f>IFERROR(__xludf.DUMMYFUNCTION("""COMPUTED_VALUE"""),"Facebook")</f>
        <v>Facebook</v>
      </c>
      <c r="E1277" s="60" t="str">
        <f>IFERROR(__xludf.DUMMYFUNCTION("""COMPUTED_VALUE"""),"https://www.facebook.com/Embajada.EEUU.Guatemala/")</f>
        <v>https://www.facebook.com/Embajada.EEUU.Guatemala/</v>
      </c>
    </row>
    <row r="1278">
      <c r="A1278" s="59" t="str">
        <f>IFERROR(__xludf.DUMMYFUNCTION("""COMPUTED_VALUE"""),"WHA")</f>
        <v>WHA</v>
      </c>
      <c r="B1278" s="59" t="str">
        <f>IFERROR(__xludf.DUMMYFUNCTION("""COMPUTED_VALUE"""),"Guatemala")</f>
        <v>Guatemala</v>
      </c>
      <c r="C1278" s="59" t="str">
        <f>IFERROR(__xludf.DUMMYFUNCTION("""COMPUTED_VALUE"""),"U.S. Embassy Guatemala City")</f>
        <v>U.S. Embassy Guatemala City</v>
      </c>
      <c r="D1278" s="59" t="str">
        <f>IFERROR(__xludf.DUMMYFUNCTION("""COMPUTED_VALUE"""),"Instagram")</f>
        <v>Instagram</v>
      </c>
      <c r="E1278" s="60" t="str">
        <f>IFERROR(__xludf.DUMMYFUNCTION("""COMPUTED_VALUE"""),"https://www.instagram.com/usembassyguatemala")</f>
        <v>https://www.instagram.com/usembassyguatemala</v>
      </c>
    </row>
    <row r="1279">
      <c r="A1279" s="59" t="str">
        <f>IFERROR(__xludf.DUMMYFUNCTION("""COMPUTED_VALUE"""),"WHA")</f>
        <v>WHA</v>
      </c>
      <c r="B1279" s="59" t="str">
        <f>IFERROR(__xludf.DUMMYFUNCTION("""COMPUTED_VALUE"""),"Guatemala")</f>
        <v>Guatemala</v>
      </c>
      <c r="C1279" s="59" t="str">
        <f>IFERROR(__xludf.DUMMYFUNCTION("""COMPUTED_VALUE"""),"U.S. Embassy Guatemala City")</f>
        <v>U.S. Embassy Guatemala City</v>
      </c>
      <c r="D1279" s="59" t="str">
        <f>IFERROR(__xludf.DUMMYFUNCTION("""COMPUTED_VALUE"""),"X")</f>
        <v>X</v>
      </c>
      <c r="E1279" s="60" t="str">
        <f>IFERROR(__xludf.DUMMYFUNCTION("""COMPUTED_VALUE"""),"https://x.com/usembassyguate")</f>
        <v>https://x.com/usembassyguate</v>
      </c>
    </row>
    <row r="1280">
      <c r="A1280" s="59" t="str">
        <f>IFERROR(__xludf.DUMMYFUNCTION("""COMPUTED_VALUE"""),"WHA")</f>
        <v>WHA</v>
      </c>
      <c r="B1280" s="59" t="str">
        <f>IFERROR(__xludf.DUMMYFUNCTION("""COMPUTED_VALUE"""),"Guatemala")</f>
        <v>Guatemala</v>
      </c>
      <c r="C1280" s="59" t="str">
        <f>IFERROR(__xludf.DUMMYFUNCTION("""COMPUTED_VALUE"""),"U.S. Embassy Guatemala City")</f>
        <v>U.S. Embassy Guatemala City</v>
      </c>
      <c r="D1280" s="59" t="str">
        <f>IFERROR(__xludf.DUMMYFUNCTION("""COMPUTED_VALUE"""),"YouTube")</f>
        <v>YouTube</v>
      </c>
      <c r="E1280" s="60" t="str">
        <f>IFERROR(__xludf.DUMMYFUNCTION("""COMPUTED_VALUE"""),"https://www.youtube.com/@USEmbassyGUATE")</f>
        <v>https://www.youtube.com/@USEmbassyGUATE</v>
      </c>
    </row>
    <row r="1281">
      <c r="A1281" s="59" t="str">
        <f>IFERROR(__xludf.DUMMYFUNCTION("""COMPUTED_VALUE"""),"WHA")</f>
        <v>WHA</v>
      </c>
      <c r="B1281" s="59" t="str">
        <f>IFERROR(__xludf.DUMMYFUNCTION("""COMPUTED_VALUE"""),"Guatemala")</f>
        <v>Guatemala</v>
      </c>
      <c r="C1281" s="59" t="str">
        <f>IFERROR(__xludf.DUMMYFUNCTION("""COMPUTED_VALUE"""),"U.S. Embassy Guatemala City")</f>
        <v>U.S. Embassy Guatemala City</v>
      </c>
      <c r="D1281" s="59" t="str">
        <f>IFERROR(__xludf.DUMMYFUNCTION("""COMPUTED_VALUE"""),"Flickr")</f>
        <v>Flickr</v>
      </c>
      <c r="E1281" s="60" t="str">
        <f>IFERROR(__xludf.DUMMYFUNCTION("""COMPUTED_VALUE"""),"https://www.flickr.com/photos/usembassyguatemala/")</f>
        <v>https://www.flickr.com/photos/usembassyguatemala/</v>
      </c>
    </row>
    <row r="1282">
      <c r="A1282" s="59" t="str">
        <f>IFERROR(__xludf.DUMMYFUNCTION("""COMPUTED_VALUE"""),"WHA")</f>
        <v>WHA</v>
      </c>
      <c r="B1282" s="59" t="str">
        <f>IFERROR(__xludf.DUMMYFUNCTION("""COMPUTED_VALUE"""),"Guyana")</f>
        <v>Guyana</v>
      </c>
      <c r="C1282" s="59" t="str">
        <f>IFERROR(__xludf.DUMMYFUNCTION("""COMPUTED_VALUE"""),"U.S. Ambassador to Guyana")</f>
        <v>U.S. Ambassador to Guyana</v>
      </c>
      <c r="D1282" s="59" t="str">
        <f>IFERROR(__xludf.DUMMYFUNCTION("""COMPUTED_VALUE"""),"X")</f>
        <v>X</v>
      </c>
      <c r="E1282" s="60" t="str">
        <f>IFERROR(__xludf.DUMMYFUNCTION("""COMPUTED_VALUE"""),"https://x.com/USAmbGuyana")</f>
        <v>https://x.com/USAmbGuyana</v>
      </c>
    </row>
    <row r="1283">
      <c r="A1283" s="59" t="str">
        <f>IFERROR(__xludf.DUMMYFUNCTION("""COMPUTED_VALUE"""),"WHA")</f>
        <v>WHA</v>
      </c>
      <c r="B1283" s="59" t="str">
        <f>IFERROR(__xludf.DUMMYFUNCTION("""COMPUTED_VALUE"""),"Guyana")</f>
        <v>Guyana</v>
      </c>
      <c r="C1283" s="59" t="str">
        <f>IFERROR(__xludf.DUMMYFUNCTION("""COMPUTED_VALUE"""),"U.S. Embassy Georgetown")</f>
        <v>U.S. Embassy Georgetown</v>
      </c>
      <c r="D1283" s="59" t="str">
        <f>IFERROR(__xludf.DUMMYFUNCTION("""COMPUTED_VALUE"""),"Facebook")</f>
        <v>Facebook</v>
      </c>
      <c r="E1283" s="60" t="str">
        <f>IFERROR(__xludf.DUMMYFUNCTION("""COMPUTED_VALUE"""),"https://www.facebook.com/USEmbassyGeorgetown/")</f>
        <v>https://www.facebook.com/USEmbassyGeorgetown/</v>
      </c>
    </row>
    <row r="1284">
      <c r="A1284" s="59" t="str">
        <f>IFERROR(__xludf.DUMMYFUNCTION("""COMPUTED_VALUE"""),"WHA")</f>
        <v>WHA</v>
      </c>
      <c r="B1284" s="59" t="str">
        <f>IFERROR(__xludf.DUMMYFUNCTION("""COMPUTED_VALUE"""),"Guyana")</f>
        <v>Guyana</v>
      </c>
      <c r="C1284" s="59" t="str">
        <f>IFERROR(__xludf.DUMMYFUNCTION("""COMPUTED_VALUE"""),"U.S. Embassy Georgetown")</f>
        <v>U.S. Embassy Georgetown</v>
      </c>
      <c r="D1284" s="59" t="str">
        <f>IFERROR(__xludf.DUMMYFUNCTION("""COMPUTED_VALUE"""),"Instagram")</f>
        <v>Instagram</v>
      </c>
      <c r="E1284" s="60" t="str">
        <f>IFERROR(__xludf.DUMMYFUNCTION("""COMPUTED_VALUE"""),"https://www.instagram.com/usembassygeorgetown")</f>
        <v>https://www.instagram.com/usembassygeorgetown</v>
      </c>
    </row>
    <row r="1285">
      <c r="A1285" s="59" t="str">
        <f>IFERROR(__xludf.DUMMYFUNCTION("""COMPUTED_VALUE"""),"WHA")</f>
        <v>WHA</v>
      </c>
      <c r="B1285" s="59" t="str">
        <f>IFERROR(__xludf.DUMMYFUNCTION("""COMPUTED_VALUE"""),"Guyana")</f>
        <v>Guyana</v>
      </c>
      <c r="C1285" s="59" t="str">
        <f>IFERROR(__xludf.DUMMYFUNCTION("""COMPUTED_VALUE"""),"U.S. Embassy Georgetown")</f>
        <v>U.S. Embassy Georgetown</v>
      </c>
      <c r="D1285" s="59" t="str">
        <f>IFERROR(__xludf.DUMMYFUNCTION("""COMPUTED_VALUE"""),"X")</f>
        <v>X</v>
      </c>
      <c r="E1285" s="60" t="str">
        <f>IFERROR(__xludf.DUMMYFUNCTION("""COMPUTED_VALUE"""),"https://x.com/EmbassyGuyana")</f>
        <v>https://x.com/EmbassyGuyana</v>
      </c>
    </row>
    <row r="1286">
      <c r="A1286" s="59" t="str">
        <f>IFERROR(__xludf.DUMMYFUNCTION("""COMPUTED_VALUE"""),"WHA")</f>
        <v>WHA</v>
      </c>
      <c r="B1286" s="59" t="str">
        <f>IFERROR(__xludf.DUMMYFUNCTION("""COMPUTED_VALUE"""),"Guyana")</f>
        <v>Guyana</v>
      </c>
      <c r="C1286" s="59" t="str">
        <f>IFERROR(__xludf.DUMMYFUNCTION("""COMPUTED_VALUE"""),"U.S. Embassy Georgetown")</f>
        <v>U.S. Embassy Georgetown</v>
      </c>
      <c r="D1286" s="59" t="str">
        <f>IFERROR(__xludf.DUMMYFUNCTION("""COMPUTED_VALUE"""),"YouTube")</f>
        <v>YouTube</v>
      </c>
      <c r="E1286" s="60" t="str">
        <f>IFERROR(__xludf.DUMMYFUNCTION("""COMPUTED_VALUE"""),"youtube.com/user/USEmbassyGuyana")</f>
        <v>youtube.com/user/USEmbassyGuyana</v>
      </c>
    </row>
    <row r="1287">
      <c r="A1287" s="59" t="str">
        <f>IFERROR(__xludf.DUMMYFUNCTION("""COMPUTED_VALUE"""),"WHA")</f>
        <v>WHA</v>
      </c>
      <c r="B1287" s="59" t="str">
        <f>IFERROR(__xludf.DUMMYFUNCTION("""COMPUTED_VALUE"""),"Guyana")</f>
        <v>Guyana</v>
      </c>
      <c r="C1287" s="59" t="str">
        <f>IFERROR(__xludf.DUMMYFUNCTION("""COMPUTED_VALUE"""),"U.S. Embassy Georgetown")</f>
        <v>U.S. Embassy Georgetown</v>
      </c>
      <c r="D1287" s="59" t="str">
        <f>IFERROR(__xludf.DUMMYFUNCTION("""COMPUTED_VALUE"""),"Flickr")</f>
        <v>Flickr</v>
      </c>
      <c r="E1287" s="60" t="str">
        <f>IFERROR(__xludf.DUMMYFUNCTION("""COMPUTED_VALUE"""),"https://www.flickr.com/photos/usembassyguyana/")</f>
        <v>https://www.flickr.com/photos/usembassyguyana/</v>
      </c>
    </row>
    <row r="1288">
      <c r="A1288" s="59" t="str">
        <f>IFERROR(__xludf.DUMMYFUNCTION("""COMPUTED_VALUE"""),"WHA")</f>
        <v>WHA</v>
      </c>
      <c r="B1288" s="59" t="str">
        <f>IFERROR(__xludf.DUMMYFUNCTION("""COMPUTED_VALUE"""),"Haiti")</f>
        <v>Haiti</v>
      </c>
      <c r="C1288" s="59" t="str">
        <f>IFERROR(__xludf.DUMMYFUNCTION("""COMPUTED_VALUE"""),"American Citizen Services Port-au-Prince")</f>
        <v>American Citizen Services Port-au-Prince</v>
      </c>
      <c r="D1288" s="59" t="str">
        <f>IFERROR(__xludf.DUMMYFUNCTION("""COMPUTED_VALUE"""),"Facebook")</f>
        <v>Facebook</v>
      </c>
      <c r="E1288" s="60" t="str">
        <f>IFERROR(__xludf.DUMMYFUNCTION("""COMPUTED_VALUE"""),"https://www.facebook.com/ACSPortauPrince")</f>
        <v>https://www.facebook.com/ACSPortauPrince</v>
      </c>
    </row>
    <row r="1289">
      <c r="A1289" s="4" t="str">
        <f>IFERROR(__xludf.DUMMYFUNCTION("""COMPUTED_VALUE"""),"WHA")</f>
        <v>WHA</v>
      </c>
      <c r="B1289" s="4" t="str">
        <f>IFERROR(__xludf.DUMMYFUNCTION("""COMPUTED_VALUE"""),"Haiti")</f>
        <v>Haiti</v>
      </c>
      <c r="C1289" s="4" t="str">
        <f>IFERROR(__xludf.DUMMYFUNCTION("""COMPUTED_VALUE"""),"U.S. Embassy Port-au-Prince")</f>
        <v>U.S. Embassy Port-au-Prince</v>
      </c>
      <c r="D1289" s="4" t="str">
        <f>IFERROR(__xludf.DUMMYFUNCTION("""COMPUTED_VALUE"""),"Facebook")</f>
        <v>Facebook</v>
      </c>
      <c r="E1289" s="6" t="str">
        <f>IFERROR(__xludf.DUMMYFUNCTION("""COMPUTED_VALUE"""),"https://www.facebook.com/USEmbassyHaiti/")</f>
        <v>https://www.facebook.com/USEmbassyHaiti/</v>
      </c>
    </row>
    <row r="1290">
      <c r="A1290" s="59" t="str">
        <f>IFERROR(__xludf.DUMMYFUNCTION("""COMPUTED_VALUE"""),"WHA")</f>
        <v>WHA</v>
      </c>
      <c r="B1290" s="59" t="str">
        <f>IFERROR(__xludf.DUMMYFUNCTION("""COMPUTED_VALUE"""),"Haiti")</f>
        <v>Haiti</v>
      </c>
      <c r="C1290" s="59" t="str">
        <f>IFERROR(__xludf.DUMMYFUNCTION("""COMPUTED_VALUE"""),"U.S. Embassy Port-au-Prince")</f>
        <v>U.S. Embassy Port-au-Prince</v>
      </c>
      <c r="D1290" s="59" t="str">
        <f>IFERROR(__xludf.DUMMYFUNCTION("""COMPUTED_VALUE"""),"X")</f>
        <v>X</v>
      </c>
      <c r="E1290" s="60" t="str">
        <f>IFERROR(__xludf.DUMMYFUNCTION("""COMPUTED_VALUE"""),"https://x.com/USEmbassyHaiti")</f>
        <v>https://x.com/USEmbassyHaiti</v>
      </c>
    </row>
    <row r="1291">
      <c r="A1291" s="59" t="str">
        <f>IFERROR(__xludf.DUMMYFUNCTION("""COMPUTED_VALUE"""),"WHA")</f>
        <v>WHA</v>
      </c>
      <c r="B1291" s="59" t="str">
        <f>IFERROR(__xludf.DUMMYFUNCTION("""COMPUTED_VALUE"""),"Haiti")</f>
        <v>Haiti</v>
      </c>
      <c r="C1291" s="59" t="str">
        <f>IFERROR(__xludf.DUMMYFUNCTION("""COMPUTED_VALUE"""),"U.S. Embassy Port-au-Prince")</f>
        <v>U.S. Embassy Port-au-Prince</v>
      </c>
      <c r="D1291" s="59" t="str">
        <f>IFERROR(__xludf.DUMMYFUNCTION("""COMPUTED_VALUE"""),"Flickr")</f>
        <v>Flickr</v>
      </c>
      <c r="E1291" s="60" t="str">
        <f>IFERROR(__xludf.DUMMYFUNCTION("""COMPUTED_VALUE"""),"https://www.flickr.com/photos/139942824@N06/albums")</f>
        <v>https://www.flickr.com/photos/139942824@N06/albums</v>
      </c>
    </row>
    <row r="1292">
      <c r="A1292" s="59" t="str">
        <f>IFERROR(__xludf.DUMMYFUNCTION("""COMPUTED_VALUE"""),"WHA")</f>
        <v>WHA</v>
      </c>
      <c r="B1292" s="59" t="str">
        <f>IFERROR(__xludf.DUMMYFUNCTION("""COMPUTED_VALUE"""),"Honduras")</f>
        <v>Honduras</v>
      </c>
      <c r="C1292" s="59" t="str">
        <f>IFERROR(__xludf.DUMMYFUNCTION("""COMPUTED_VALUE"""),"U.S. Ambassador to Honduras")</f>
        <v>U.S. Ambassador to Honduras</v>
      </c>
      <c r="D1292" s="59" t="str">
        <f>IFERROR(__xludf.DUMMYFUNCTION("""COMPUTED_VALUE"""),"X")</f>
        <v>X</v>
      </c>
      <c r="E1292" s="60" t="str">
        <f>IFERROR(__xludf.DUMMYFUNCTION("""COMPUTED_VALUE"""),"https://x.com/USAmbHonduras")</f>
        <v>https://x.com/USAmbHonduras</v>
      </c>
    </row>
    <row r="1293">
      <c r="A1293" s="59" t="str">
        <f>IFERROR(__xludf.DUMMYFUNCTION("""COMPUTED_VALUE"""),"WHA")</f>
        <v>WHA</v>
      </c>
      <c r="B1293" s="59" t="str">
        <f>IFERROR(__xludf.DUMMYFUNCTION("""COMPUTED_VALUE"""),"Honduras")</f>
        <v>Honduras</v>
      </c>
      <c r="C1293" s="59" t="str">
        <f>IFERROR(__xludf.DUMMYFUNCTION("""COMPUTED_VALUE"""),"U.S. Embassy Tegucigalpa")</f>
        <v>U.S. Embassy Tegucigalpa</v>
      </c>
      <c r="D1293" s="59" t="str">
        <f>IFERROR(__xludf.DUMMYFUNCTION("""COMPUTED_VALUE"""),"Facebook")</f>
        <v>Facebook</v>
      </c>
      <c r="E1293" s="60" t="str">
        <f>IFERROR(__xludf.DUMMYFUNCTION("""COMPUTED_VALUE"""),"https://www.facebook.com/usembassyhn/")</f>
        <v>https://www.facebook.com/usembassyhn/</v>
      </c>
    </row>
    <row r="1294">
      <c r="A1294" s="59" t="str">
        <f>IFERROR(__xludf.DUMMYFUNCTION("""COMPUTED_VALUE"""),"WHA")</f>
        <v>WHA</v>
      </c>
      <c r="B1294" s="59" t="str">
        <f>IFERROR(__xludf.DUMMYFUNCTION("""COMPUTED_VALUE"""),"Honduras")</f>
        <v>Honduras</v>
      </c>
      <c r="C1294" s="59" t="str">
        <f>IFERROR(__xludf.DUMMYFUNCTION("""COMPUTED_VALUE"""),"U.S. Embassy Tegucigalpa")</f>
        <v>U.S. Embassy Tegucigalpa</v>
      </c>
      <c r="D1294" s="59" t="str">
        <f>IFERROR(__xludf.DUMMYFUNCTION("""COMPUTED_VALUE"""),"Instagram")</f>
        <v>Instagram</v>
      </c>
      <c r="E1294" s="60" t="str">
        <f>IFERROR(__xludf.DUMMYFUNCTION("""COMPUTED_VALUE"""),"https://www.instagram.com/usembassyhn")</f>
        <v>https://www.instagram.com/usembassyhn</v>
      </c>
    </row>
    <row r="1295">
      <c r="A1295" s="59" t="str">
        <f>IFERROR(__xludf.DUMMYFUNCTION("""COMPUTED_VALUE"""),"WHA")</f>
        <v>WHA</v>
      </c>
      <c r="B1295" s="59" t="str">
        <f>IFERROR(__xludf.DUMMYFUNCTION("""COMPUTED_VALUE"""),"Honduras")</f>
        <v>Honduras</v>
      </c>
      <c r="C1295" s="59" t="str">
        <f>IFERROR(__xludf.DUMMYFUNCTION("""COMPUTED_VALUE"""),"U.S. Embassy Tegucigalpa")</f>
        <v>U.S. Embassy Tegucigalpa</v>
      </c>
      <c r="D1295" s="59" t="str">
        <f>IFERROR(__xludf.DUMMYFUNCTION("""COMPUTED_VALUE"""),"X")</f>
        <v>X</v>
      </c>
      <c r="E1295" s="60" t="str">
        <f>IFERROR(__xludf.DUMMYFUNCTION("""COMPUTED_VALUE"""),"https://x.com/usembassyhn")</f>
        <v>https://x.com/usembassyhn</v>
      </c>
    </row>
    <row r="1296">
      <c r="A1296" s="59" t="str">
        <f>IFERROR(__xludf.DUMMYFUNCTION("""COMPUTED_VALUE"""),"WHA")</f>
        <v>WHA</v>
      </c>
      <c r="B1296" s="59" t="str">
        <f>IFERROR(__xludf.DUMMYFUNCTION("""COMPUTED_VALUE"""),"Honduras")</f>
        <v>Honduras</v>
      </c>
      <c r="C1296" s="59" t="str">
        <f>IFERROR(__xludf.DUMMYFUNCTION("""COMPUTED_VALUE"""),"U.S. Embassy Tegucigalpa")</f>
        <v>U.S. Embassy Tegucigalpa</v>
      </c>
      <c r="D1296" s="59" t="str">
        <f>IFERROR(__xludf.DUMMYFUNCTION("""COMPUTED_VALUE"""),"YouTube")</f>
        <v>YouTube</v>
      </c>
      <c r="E1296" s="60" t="str">
        <f>IFERROR(__xludf.DUMMYFUNCTION("""COMPUTED_VALUE"""),"https://www.youtube.com/@USEmbassyHN")</f>
        <v>https://www.youtube.com/@USEmbassyHN</v>
      </c>
    </row>
    <row r="1297">
      <c r="A1297" s="59" t="str">
        <f>IFERROR(__xludf.DUMMYFUNCTION("""COMPUTED_VALUE"""),"WHA")</f>
        <v>WHA</v>
      </c>
      <c r="B1297" s="59" t="str">
        <f>IFERROR(__xludf.DUMMYFUNCTION("""COMPUTED_VALUE"""),"Honduras")</f>
        <v>Honduras</v>
      </c>
      <c r="C1297" s="59" t="str">
        <f>IFERROR(__xludf.DUMMYFUNCTION("""COMPUTED_VALUE"""),"U.S. Embassy Tegucigalpa")</f>
        <v>U.S. Embassy Tegucigalpa</v>
      </c>
      <c r="D1297" s="59" t="str">
        <f>IFERROR(__xludf.DUMMYFUNCTION("""COMPUTED_VALUE"""),"LinkedIn")</f>
        <v>LinkedIn</v>
      </c>
      <c r="E1297" s="60" t="str">
        <f>IFERROR(__xludf.DUMMYFUNCTION("""COMPUTED_VALUE"""),"https://www.linkedin.com/company/us-embassy-tegucigalpa/")</f>
        <v>https://www.linkedin.com/company/us-embassy-tegucigalpa/</v>
      </c>
    </row>
    <row r="1298">
      <c r="A1298" s="59" t="str">
        <f>IFERROR(__xludf.DUMMYFUNCTION("""COMPUTED_VALUE"""),"WHA")</f>
        <v>WHA</v>
      </c>
      <c r="B1298" s="59" t="str">
        <f>IFERROR(__xludf.DUMMYFUNCTION("""COMPUTED_VALUE"""),"Honduras")</f>
        <v>Honduras</v>
      </c>
      <c r="C1298" s="59" t="str">
        <f>IFERROR(__xludf.DUMMYFUNCTION("""COMPUTED_VALUE"""),"U.S. Embassy Tegucigalpa")</f>
        <v>U.S. Embassy Tegucigalpa</v>
      </c>
      <c r="D1298" s="59" t="str">
        <f>IFERROR(__xludf.DUMMYFUNCTION("""COMPUTED_VALUE"""),"Flickr")</f>
        <v>Flickr</v>
      </c>
      <c r="E1298" s="60" t="str">
        <f>IFERROR(__xludf.DUMMYFUNCTION("""COMPUTED_VALUE"""),"https://www.flickr.com/photos/usembassyteg")</f>
        <v>https://www.flickr.com/photos/usembassyteg</v>
      </c>
    </row>
    <row r="1299">
      <c r="A1299" s="59" t="str">
        <f>IFERROR(__xludf.DUMMYFUNCTION("""COMPUTED_VALUE"""),"WHA")</f>
        <v>WHA</v>
      </c>
      <c r="B1299" s="59" t="str">
        <f>IFERROR(__xludf.DUMMYFUNCTION("""COMPUTED_VALUE"""),"Jamaica")</f>
        <v>Jamaica</v>
      </c>
      <c r="C1299" s="59" t="str">
        <f>IFERROR(__xludf.DUMMYFUNCTION("""COMPUTED_VALUE"""),"U.S. Ambassador to Jamaica")</f>
        <v>U.S. Ambassador to Jamaica</v>
      </c>
      <c r="D1299" s="59" t="str">
        <f>IFERROR(__xludf.DUMMYFUNCTION("""COMPUTED_VALUE"""),"X")</f>
        <v>X</v>
      </c>
      <c r="E1299" s="60" t="str">
        <f>IFERROR(__xludf.DUMMYFUNCTION("""COMPUTED_VALUE"""),"https://x.com/AmbassadorUS_JA")</f>
        <v>https://x.com/AmbassadorUS_JA</v>
      </c>
    </row>
    <row r="1300">
      <c r="A1300" s="59" t="str">
        <f>IFERROR(__xludf.DUMMYFUNCTION("""COMPUTED_VALUE"""),"WHA")</f>
        <v>WHA</v>
      </c>
      <c r="B1300" s="59" t="str">
        <f>IFERROR(__xludf.DUMMYFUNCTION("""COMPUTED_VALUE"""),"Jamaica")</f>
        <v>Jamaica</v>
      </c>
      <c r="C1300" s="59" t="str">
        <f>IFERROR(__xludf.DUMMYFUNCTION("""COMPUTED_VALUE"""),"U.S. Embassy Kingston")</f>
        <v>U.S. Embassy Kingston</v>
      </c>
      <c r="D1300" s="59" t="str">
        <f>IFERROR(__xludf.DUMMYFUNCTION("""COMPUTED_VALUE"""),"Facebook")</f>
        <v>Facebook</v>
      </c>
      <c r="E1300" s="60" t="str">
        <f>IFERROR(__xludf.DUMMYFUNCTION("""COMPUTED_VALUE"""),"https://www.facebook.com/USEmbassyJamaica/")</f>
        <v>https://www.facebook.com/USEmbassyJamaica/</v>
      </c>
    </row>
    <row r="1301">
      <c r="A1301" s="59" t="str">
        <f>IFERROR(__xludf.DUMMYFUNCTION("""COMPUTED_VALUE"""),"WHA")</f>
        <v>WHA</v>
      </c>
      <c r="B1301" s="59" t="str">
        <f>IFERROR(__xludf.DUMMYFUNCTION("""COMPUTED_VALUE"""),"Jamaica")</f>
        <v>Jamaica</v>
      </c>
      <c r="C1301" s="59" t="str">
        <f>IFERROR(__xludf.DUMMYFUNCTION("""COMPUTED_VALUE"""),"U.S. Embassy Kingston")</f>
        <v>U.S. Embassy Kingston</v>
      </c>
      <c r="D1301" s="59" t="str">
        <f>IFERROR(__xludf.DUMMYFUNCTION("""COMPUTED_VALUE"""),"Instagram")</f>
        <v>Instagram</v>
      </c>
      <c r="E1301" s="60" t="str">
        <f>IFERROR(__xludf.DUMMYFUNCTION("""COMPUTED_VALUE"""),"https://www.instagram.com/usembassyja")</f>
        <v>https://www.instagram.com/usembassyja</v>
      </c>
    </row>
    <row r="1302">
      <c r="A1302" s="59" t="str">
        <f>IFERROR(__xludf.DUMMYFUNCTION("""COMPUTED_VALUE"""),"WHA")</f>
        <v>WHA</v>
      </c>
      <c r="B1302" s="59" t="str">
        <f>IFERROR(__xludf.DUMMYFUNCTION("""COMPUTED_VALUE"""),"Jamaica")</f>
        <v>Jamaica</v>
      </c>
      <c r="C1302" s="59" t="str">
        <f>IFERROR(__xludf.DUMMYFUNCTION("""COMPUTED_VALUE"""),"U.S. Embassy Kingston")</f>
        <v>U.S. Embassy Kingston</v>
      </c>
      <c r="D1302" s="59" t="str">
        <f>IFERROR(__xludf.DUMMYFUNCTION("""COMPUTED_VALUE"""),"X")</f>
        <v>X</v>
      </c>
      <c r="E1302" s="60" t="str">
        <f>IFERROR(__xludf.DUMMYFUNCTION("""COMPUTED_VALUE"""),"https://x.com/USEmbassyJA")</f>
        <v>https://x.com/USEmbassyJA</v>
      </c>
    </row>
    <row r="1303">
      <c r="A1303" s="59" t="str">
        <f>IFERROR(__xludf.DUMMYFUNCTION("""COMPUTED_VALUE"""),"WHA")</f>
        <v>WHA</v>
      </c>
      <c r="B1303" s="59" t="str">
        <f>IFERROR(__xludf.DUMMYFUNCTION("""COMPUTED_VALUE"""),"Jamaica")</f>
        <v>Jamaica</v>
      </c>
      <c r="C1303" s="59" t="str">
        <f>IFERROR(__xludf.DUMMYFUNCTION("""COMPUTED_VALUE"""),"U.S. Embassy Kingston")</f>
        <v>U.S. Embassy Kingston</v>
      </c>
      <c r="D1303" s="59" t="str">
        <f>IFERROR(__xludf.DUMMYFUNCTION("""COMPUTED_VALUE"""),"YouTube")</f>
        <v>YouTube</v>
      </c>
      <c r="E1303" s="60" t="str">
        <f>IFERROR(__xludf.DUMMYFUNCTION("""COMPUTED_VALUE"""),"youtube.com/user/AmEmbassyKingston")</f>
        <v>youtube.com/user/AmEmbassyKingston</v>
      </c>
    </row>
    <row r="1304">
      <c r="A1304" s="59" t="str">
        <f>IFERROR(__xludf.DUMMYFUNCTION("""COMPUTED_VALUE"""),"WHA")</f>
        <v>WHA</v>
      </c>
      <c r="B1304" s="59" t="str">
        <f>IFERROR(__xludf.DUMMYFUNCTION("""COMPUTED_VALUE"""),"Jamaica")</f>
        <v>Jamaica</v>
      </c>
      <c r="C1304" s="59" t="str">
        <f>IFERROR(__xludf.DUMMYFUNCTION("""COMPUTED_VALUE"""),"U.S. Embassy Kingston")</f>
        <v>U.S. Embassy Kingston</v>
      </c>
      <c r="D1304" s="59" t="str">
        <f>IFERROR(__xludf.DUMMYFUNCTION("""COMPUTED_VALUE"""),"Flickr")</f>
        <v>Flickr</v>
      </c>
      <c r="E1304" s="60" t="str">
        <f>IFERROR(__xludf.DUMMYFUNCTION("""COMPUTED_VALUE"""),"https://www.flickr.com/photos/kingstonja")</f>
        <v>https://www.flickr.com/photos/kingstonja</v>
      </c>
    </row>
    <row r="1305">
      <c r="A1305" s="59" t="str">
        <f>IFERROR(__xludf.DUMMYFUNCTION("""COMPUTED_VALUE"""),"WHA")</f>
        <v>WHA</v>
      </c>
      <c r="B1305" s="59" t="str">
        <f>IFERROR(__xludf.DUMMYFUNCTION("""COMPUTED_VALUE"""),"Mexico")</f>
        <v>Mexico</v>
      </c>
      <c r="C1305" s="59" t="str">
        <f>IFERROR(__xludf.DUMMYFUNCTION("""COMPUTED_VALUE"""),"U.S. Ambassador to Mexico")</f>
        <v>U.S. Ambassador to Mexico</v>
      </c>
      <c r="D1305" s="59" t="str">
        <f>IFERROR(__xludf.DUMMYFUNCTION("""COMPUTED_VALUE"""),"X")</f>
        <v>X</v>
      </c>
      <c r="E1305" s="60" t="str">
        <f>IFERROR(__xludf.DUMMYFUNCTION("""COMPUTED_VALUE"""),"https://x.com/USAmbMex")</f>
        <v>https://x.com/USAmbMex</v>
      </c>
    </row>
    <row r="1306">
      <c r="A1306" s="59" t="str">
        <f>IFERROR(__xludf.DUMMYFUNCTION("""COMPUTED_VALUE"""),"WHA")</f>
        <v>WHA</v>
      </c>
      <c r="B1306" s="59" t="str">
        <f>IFERROR(__xludf.DUMMYFUNCTION("""COMPUTED_VALUE"""),"Mexico")</f>
        <v>Mexico</v>
      </c>
      <c r="C1306" s="59" t="str">
        <f>IFERROR(__xludf.DUMMYFUNCTION("""COMPUTED_VALUE"""),"U.S. Citizens in Mexico")</f>
        <v>U.S. Citizens in Mexico</v>
      </c>
      <c r="D1306" s="59" t="str">
        <f>IFERROR(__xludf.DUMMYFUNCTION("""COMPUTED_VALUE"""),"WhatsApp")</f>
        <v>WhatsApp</v>
      </c>
      <c r="E1306" s="60" t="str">
        <f>IFERROR(__xludf.DUMMYFUNCTION("""COMPUTED_VALUE"""),"https://whatsapp.com/channel/0029VaNr4kZ3wtbHFxm9Dh2D ")</f>
        <v>https://whatsapp.com/channel/0029VaNr4kZ3wtbHFxm9Dh2D </v>
      </c>
    </row>
    <row r="1307">
      <c r="A1307" s="59" t="str">
        <f>IFERROR(__xludf.DUMMYFUNCTION("""COMPUTED_VALUE"""),"WHA")</f>
        <v>WHA</v>
      </c>
      <c r="B1307" s="59" t="str">
        <f>IFERROR(__xludf.DUMMYFUNCTION("""COMPUTED_VALUE"""),"Mexico")</f>
        <v>Mexico</v>
      </c>
      <c r="C1307" s="59" t="str">
        <f>IFERROR(__xludf.DUMMYFUNCTION("""COMPUTED_VALUE"""),"U.S. Consulate General Guadalajara")</f>
        <v>U.S. Consulate General Guadalajara</v>
      </c>
      <c r="D1307" s="59" t="str">
        <f>IFERROR(__xludf.DUMMYFUNCTION("""COMPUTED_VALUE"""),"Facebook")</f>
        <v>Facebook</v>
      </c>
      <c r="E1307" s="60" t="str">
        <f>IFERROR(__xludf.DUMMYFUNCTION("""COMPUTED_VALUE"""),"https://www.facebook.com/USCGGuadalajara/")</f>
        <v>https://www.facebook.com/USCGGuadalajara/</v>
      </c>
    </row>
    <row r="1308">
      <c r="A1308" s="59" t="str">
        <f>IFERROR(__xludf.DUMMYFUNCTION("""COMPUTED_VALUE"""),"WHA")</f>
        <v>WHA</v>
      </c>
      <c r="B1308" s="59" t="str">
        <f>IFERROR(__xludf.DUMMYFUNCTION("""COMPUTED_VALUE"""),"Mexico")</f>
        <v>Mexico</v>
      </c>
      <c r="C1308" s="59" t="str">
        <f>IFERROR(__xludf.DUMMYFUNCTION("""COMPUTED_VALUE"""),"U.S. Consulate General Guadalajara")</f>
        <v>U.S. Consulate General Guadalajara</v>
      </c>
      <c r="D1308" s="59" t="str">
        <f>IFERROR(__xludf.DUMMYFUNCTION("""COMPUTED_VALUE"""),"X")</f>
        <v>X</v>
      </c>
      <c r="E1308" s="60" t="str">
        <f>IFERROR(__xludf.DUMMYFUNCTION("""COMPUTED_VALUE"""),"https://x.com/USCGGuadalajara")</f>
        <v>https://x.com/USCGGuadalajara</v>
      </c>
    </row>
    <row r="1309">
      <c r="A1309" s="59" t="str">
        <f>IFERROR(__xludf.DUMMYFUNCTION("""COMPUTED_VALUE"""),"WHA")</f>
        <v>WHA</v>
      </c>
      <c r="B1309" s="59" t="str">
        <f>IFERROR(__xludf.DUMMYFUNCTION("""COMPUTED_VALUE"""),"Mexico")</f>
        <v>Mexico</v>
      </c>
      <c r="C1309" s="59" t="str">
        <f>IFERROR(__xludf.DUMMYFUNCTION("""COMPUTED_VALUE"""),"U.S. Consulate General Guadalajara")</f>
        <v>U.S. Consulate General Guadalajara</v>
      </c>
      <c r="D1309" s="59" t="str">
        <f>IFERROR(__xludf.DUMMYFUNCTION("""COMPUTED_VALUE"""),"YouTube")</f>
        <v>YouTube</v>
      </c>
      <c r="E1309" s="60" t="str">
        <f>IFERROR(__xludf.DUMMYFUNCTION("""COMPUTED_VALUE"""),"youtube.com/user/pdgdl")</f>
        <v>youtube.com/user/pdgdl</v>
      </c>
    </row>
    <row r="1310">
      <c r="A1310" s="59" t="str">
        <f>IFERROR(__xludf.DUMMYFUNCTION("""COMPUTED_VALUE"""),"WHA")</f>
        <v>WHA</v>
      </c>
      <c r="B1310" s="59" t="str">
        <f>IFERROR(__xludf.DUMMYFUNCTION("""COMPUTED_VALUE"""),"Mexico")</f>
        <v>Mexico</v>
      </c>
      <c r="C1310" s="59" t="str">
        <f>IFERROR(__xludf.DUMMYFUNCTION("""COMPUTED_VALUE"""),"U.S. Consulate General Hermosillo")</f>
        <v>U.S. Consulate General Hermosillo</v>
      </c>
      <c r="D1310" s="59" t="str">
        <f>IFERROR(__xludf.DUMMYFUNCTION("""COMPUTED_VALUE"""),"Facebook")</f>
        <v>Facebook</v>
      </c>
      <c r="E1310" s="60" t="str">
        <f>IFERROR(__xludf.DUMMYFUNCTION("""COMPUTED_VALUE"""),"https://www.facebook.com/USConsuladoHer/")</f>
        <v>https://www.facebook.com/USConsuladoHer/</v>
      </c>
    </row>
    <row r="1311">
      <c r="A1311" s="59" t="str">
        <f>IFERROR(__xludf.DUMMYFUNCTION("""COMPUTED_VALUE"""),"WHA")</f>
        <v>WHA</v>
      </c>
      <c r="B1311" s="59" t="str">
        <f>IFERROR(__xludf.DUMMYFUNCTION("""COMPUTED_VALUE"""),"Mexico")</f>
        <v>Mexico</v>
      </c>
      <c r="C1311" s="59" t="str">
        <f>IFERROR(__xludf.DUMMYFUNCTION("""COMPUTED_VALUE"""),"U.S. Consulate General Hermosillo")</f>
        <v>U.S. Consulate General Hermosillo</v>
      </c>
      <c r="D1311" s="59" t="str">
        <f>IFERROR(__xludf.DUMMYFUNCTION("""COMPUTED_VALUE"""),"X")</f>
        <v>X</v>
      </c>
      <c r="E1311" s="60" t="str">
        <f>IFERROR(__xludf.DUMMYFUNCTION("""COMPUTED_VALUE"""),"https://x.com/USConsuladoHer")</f>
        <v>https://x.com/USConsuladoHer</v>
      </c>
    </row>
    <row r="1312">
      <c r="A1312" s="59" t="str">
        <f>IFERROR(__xludf.DUMMYFUNCTION("""COMPUTED_VALUE"""),"WHA")</f>
        <v>WHA</v>
      </c>
      <c r="B1312" s="59" t="str">
        <f>IFERROR(__xludf.DUMMYFUNCTION("""COMPUTED_VALUE"""),"Mexico")</f>
        <v>Mexico</v>
      </c>
      <c r="C1312" s="59" t="str">
        <f>IFERROR(__xludf.DUMMYFUNCTION("""COMPUTED_VALUE"""),"U.S. Consulate General Hermosillo")</f>
        <v>U.S. Consulate General Hermosillo</v>
      </c>
      <c r="D1312" s="59" t="str">
        <f>IFERROR(__xludf.DUMMYFUNCTION("""COMPUTED_VALUE"""),"YouTube")</f>
        <v>YouTube</v>
      </c>
      <c r="E1312" s="60" t="str">
        <f>IFERROR(__xludf.DUMMYFUNCTION("""COMPUTED_VALUE"""),"youtube.com/user/usconsulateher")</f>
        <v>youtube.com/user/usconsulateher</v>
      </c>
    </row>
    <row r="1313">
      <c r="A1313" s="59" t="str">
        <f>IFERROR(__xludf.DUMMYFUNCTION("""COMPUTED_VALUE"""),"WHA")</f>
        <v>WHA</v>
      </c>
      <c r="B1313" s="59" t="str">
        <f>IFERROR(__xludf.DUMMYFUNCTION("""COMPUTED_VALUE"""),"Mexico")</f>
        <v>Mexico</v>
      </c>
      <c r="C1313" s="59" t="str">
        <f>IFERROR(__xludf.DUMMYFUNCTION("""COMPUTED_VALUE"""),"U.S. Consulate General Hermosillo")</f>
        <v>U.S. Consulate General Hermosillo</v>
      </c>
      <c r="D1313" s="59" t="str">
        <f>IFERROR(__xludf.DUMMYFUNCTION("""COMPUTED_VALUE"""),"Instagram")</f>
        <v>Instagram</v>
      </c>
      <c r="E1313" s="60" t="str">
        <f>IFERROR(__xludf.DUMMYFUNCTION("""COMPUTED_VALUE"""),"https://www.instagram.com/usconsuladoher/")</f>
        <v>https://www.instagram.com/usconsuladoher/</v>
      </c>
    </row>
    <row r="1314">
      <c r="A1314" s="59" t="str">
        <f>IFERROR(__xludf.DUMMYFUNCTION("""COMPUTED_VALUE"""),"WHA")</f>
        <v>WHA</v>
      </c>
      <c r="B1314" s="59" t="str">
        <f>IFERROR(__xludf.DUMMYFUNCTION("""COMPUTED_VALUE"""),"Mexico")</f>
        <v>Mexico</v>
      </c>
      <c r="C1314" s="59" t="str">
        <f>IFERROR(__xludf.DUMMYFUNCTION("""COMPUTED_VALUE"""),"U.S. Consulate General Juarez")</f>
        <v>U.S. Consulate General Juarez</v>
      </c>
      <c r="D1314" s="59" t="str">
        <f>IFERROR(__xludf.DUMMYFUNCTION("""COMPUTED_VALUE"""),"Facebook")</f>
        <v>Facebook</v>
      </c>
      <c r="E1314" s="60" t="str">
        <f>IFERROR(__xludf.DUMMYFUNCTION("""COMPUTED_VALUE"""),"https://www.facebook.com/USCGCdJuarez/")</f>
        <v>https://www.facebook.com/USCGCdJuarez/</v>
      </c>
    </row>
    <row r="1315">
      <c r="A1315" s="59" t="str">
        <f>IFERROR(__xludf.DUMMYFUNCTION("""COMPUTED_VALUE"""),"WHA")</f>
        <v>WHA</v>
      </c>
      <c r="B1315" s="59" t="str">
        <f>IFERROR(__xludf.DUMMYFUNCTION("""COMPUTED_VALUE"""),"Mexico")</f>
        <v>Mexico</v>
      </c>
      <c r="C1315" s="59" t="str">
        <f>IFERROR(__xludf.DUMMYFUNCTION("""COMPUTED_VALUE"""),"U.S. Consulate General Juarez")</f>
        <v>U.S. Consulate General Juarez</v>
      </c>
      <c r="D1315" s="59" t="str">
        <f>IFERROR(__xludf.DUMMYFUNCTION("""COMPUTED_VALUE"""),"X")</f>
        <v>X</v>
      </c>
      <c r="E1315" s="60" t="str">
        <f>IFERROR(__xludf.DUMMYFUNCTION("""COMPUTED_VALUE"""),"https://x.com/USCGCdJuarez")</f>
        <v>https://x.com/USCGCdJuarez</v>
      </c>
    </row>
    <row r="1316">
      <c r="A1316" s="59" t="str">
        <f>IFERROR(__xludf.DUMMYFUNCTION("""COMPUTED_VALUE"""),"WHA")</f>
        <v>WHA</v>
      </c>
      <c r="B1316" s="59" t="str">
        <f>IFERROR(__xludf.DUMMYFUNCTION("""COMPUTED_VALUE"""),"Mexico")</f>
        <v>Mexico</v>
      </c>
      <c r="C1316" s="59" t="str">
        <f>IFERROR(__xludf.DUMMYFUNCTION("""COMPUTED_VALUE"""),"U.S. Consulate General Juarez")</f>
        <v>U.S. Consulate General Juarez</v>
      </c>
      <c r="D1316" s="59" t="str">
        <f>IFERROR(__xludf.DUMMYFUNCTION("""COMPUTED_VALUE"""),"YouTube")</f>
        <v>YouTube</v>
      </c>
      <c r="E1316" s="60" t="str">
        <f>IFERROR(__xludf.DUMMYFUNCTION("""COMPUTED_VALUE"""),"youtube.com/user/pasjuarez")</f>
        <v>youtube.com/user/pasjuarez</v>
      </c>
    </row>
    <row r="1317">
      <c r="A1317" s="59" t="str">
        <f>IFERROR(__xludf.DUMMYFUNCTION("""COMPUTED_VALUE"""),"WHA")</f>
        <v>WHA</v>
      </c>
      <c r="B1317" s="59" t="str">
        <f>IFERROR(__xludf.DUMMYFUNCTION("""COMPUTED_VALUE"""),"Mexico")</f>
        <v>Mexico</v>
      </c>
      <c r="C1317" s="59" t="str">
        <f>IFERROR(__xludf.DUMMYFUNCTION("""COMPUTED_VALUE"""),"U.S. Consulate General Juarez")</f>
        <v>U.S. Consulate General Juarez</v>
      </c>
      <c r="D1317" s="59" t="str">
        <f>IFERROR(__xludf.DUMMYFUNCTION("""COMPUTED_VALUE"""),"WhatsApp")</f>
        <v>WhatsApp</v>
      </c>
      <c r="E1317" s="60" t="str">
        <f>IFERROR(__xludf.DUMMYFUNCTION("""COMPUTED_VALUE"""),"https://whatsapp.com/channel/0029Va7VTm42P59qkRYcyl3M")</f>
        <v>https://whatsapp.com/channel/0029Va7VTm42P59qkRYcyl3M</v>
      </c>
    </row>
    <row r="1318">
      <c r="A1318" s="59" t="str">
        <f>IFERROR(__xludf.DUMMYFUNCTION("""COMPUTED_VALUE"""),"WHA")</f>
        <v>WHA</v>
      </c>
      <c r="B1318" s="59" t="str">
        <f>IFERROR(__xludf.DUMMYFUNCTION("""COMPUTED_VALUE"""),"Mexico")</f>
        <v>Mexico</v>
      </c>
      <c r="C1318" s="59" t="str">
        <f>IFERROR(__xludf.DUMMYFUNCTION("""COMPUTED_VALUE"""),"U.S. Consulate General Matamoros")</f>
        <v>U.S. Consulate General Matamoros</v>
      </c>
      <c r="D1318" s="59" t="str">
        <f>IFERROR(__xludf.DUMMYFUNCTION("""COMPUTED_VALUE"""),"Facebook")</f>
        <v>Facebook</v>
      </c>
      <c r="E1318" s="60" t="str">
        <f>IFERROR(__xludf.DUMMYFUNCTION("""COMPUTED_VALUE"""),"https://www.facebook.com/USCGMatamoros/")</f>
        <v>https://www.facebook.com/USCGMatamoros/</v>
      </c>
    </row>
    <row r="1319">
      <c r="A1319" s="59" t="str">
        <f>IFERROR(__xludf.DUMMYFUNCTION("""COMPUTED_VALUE"""),"WHA")</f>
        <v>WHA</v>
      </c>
      <c r="B1319" s="59" t="str">
        <f>IFERROR(__xludf.DUMMYFUNCTION("""COMPUTED_VALUE"""),"Mexico")</f>
        <v>Mexico</v>
      </c>
      <c r="C1319" s="59" t="str">
        <f>IFERROR(__xludf.DUMMYFUNCTION("""COMPUTED_VALUE"""),"U.S. Consulate General Matamoros")</f>
        <v>U.S. Consulate General Matamoros</v>
      </c>
      <c r="D1319" s="59" t="str">
        <f>IFERROR(__xludf.DUMMYFUNCTION("""COMPUTED_VALUE"""),"X")</f>
        <v>X</v>
      </c>
      <c r="E1319" s="60" t="str">
        <f>IFERROR(__xludf.DUMMYFUNCTION("""COMPUTED_VALUE"""),"https://x.com/USCGMatamoros")</f>
        <v>https://x.com/USCGMatamoros</v>
      </c>
    </row>
    <row r="1320">
      <c r="A1320" s="59" t="str">
        <f>IFERROR(__xludf.DUMMYFUNCTION("""COMPUTED_VALUE"""),"WHA")</f>
        <v>WHA</v>
      </c>
      <c r="B1320" s="59" t="str">
        <f>IFERROR(__xludf.DUMMYFUNCTION("""COMPUTED_VALUE"""),"Mexico")</f>
        <v>Mexico</v>
      </c>
      <c r="C1320" s="59" t="str">
        <f>IFERROR(__xludf.DUMMYFUNCTION("""COMPUTED_VALUE"""),"U.S. Consulate General Matamoros")</f>
        <v>U.S. Consulate General Matamoros</v>
      </c>
      <c r="D1320" s="59" t="str">
        <f>IFERROR(__xludf.DUMMYFUNCTION("""COMPUTED_VALUE"""),"YouTube")</f>
        <v>YouTube</v>
      </c>
      <c r="E1320" s="60" t="str">
        <f>IFERROR(__xludf.DUMMYFUNCTION("""COMPUTED_VALUE"""),"youtube.com/user/uscgmatamoros")</f>
        <v>youtube.com/user/uscgmatamoros</v>
      </c>
    </row>
    <row r="1321">
      <c r="A1321" s="59" t="str">
        <f>IFERROR(__xludf.DUMMYFUNCTION("""COMPUTED_VALUE"""),"WHA")</f>
        <v>WHA</v>
      </c>
      <c r="B1321" s="59" t="str">
        <f>IFERROR(__xludf.DUMMYFUNCTION("""COMPUTED_VALUE"""),"Mexico")</f>
        <v>Mexico</v>
      </c>
      <c r="C1321" s="59" t="str">
        <f>IFERROR(__xludf.DUMMYFUNCTION("""COMPUTED_VALUE"""),"U.S. Consulate General Merida")</f>
        <v>U.S. Consulate General Merida</v>
      </c>
      <c r="D1321" s="59" t="str">
        <f>IFERROR(__xludf.DUMMYFUNCTION("""COMPUTED_VALUE"""),"Facebook")</f>
        <v>Facebook</v>
      </c>
      <c r="E1321" s="60" t="str">
        <f>IFERROR(__xludf.DUMMYFUNCTION("""COMPUTED_VALUE"""),"https://www.facebook.com/ConsuladoEstadosUnidosMerida/")</f>
        <v>https://www.facebook.com/ConsuladoEstadosUnidosMerida/</v>
      </c>
    </row>
    <row r="1322">
      <c r="A1322" s="59" t="str">
        <f>IFERROR(__xludf.DUMMYFUNCTION("""COMPUTED_VALUE"""),"WHA")</f>
        <v>WHA</v>
      </c>
      <c r="B1322" s="59" t="str">
        <f>IFERROR(__xludf.DUMMYFUNCTION("""COMPUTED_VALUE"""),"Mexico")</f>
        <v>Mexico</v>
      </c>
      <c r="C1322" s="59" t="str">
        <f>IFERROR(__xludf.DUMMYFUNCTION("""COMPUTED_VALUE"""),"U.S. Consulate General Merida")</f>
        <v>U.S. Consulate General Merida</v>
      </c>
      <c r="D1322" s="59" t="str">
        <f>IFERROR(__xludf.DUMMYFUNCTION("""COMPUTED_VALUE"""),"X")</f>
        <v>X</v>
      </c>
      <c r="E1322" s="60" t="str">
        <f>IFERROR(__xludf.DUMMYFUNCTION("""COMPUTED_VALUE"""),"https://x.com/ConsuladoUSAMer")</f>
        <v>https://x.com/ConsuladoUSAMer</v>
      </c>
    </row>
    <row r="1323">
      <c r="A1323" s="59" t="str">
        <f>IFERROR(__xludf.DUMMYFUNCTION("""COMPUTED_VALUE"""),"WHA")</f>
        <v>WHA</v>
      </c>
      <c r="B1323" s="59" t="str">
        <f>IFERROR(__xludf.DUMMYFUNCTION("""COMPUTED_VALUE"""),"Mexico")</f>
        <v>Mexico</v>
      </c>
      <c r="C1323" s="59" t="str">
        <f>IFERROR(__xludf.DUMMYFUNCTION("""COMPUTED_VALUE"""),"U.S. Consulate General Monterrey")</f>
        <v>U.S. Consulate General Monterrey</v>
      </c>
      <c r="D1323" s="59" t="str">
        <f>IFERROR(__xludf.DUMMYFUNCTION("""COMPUTED_VALUE"""),"Facebook")</f>
        <v>Facebook</v>
      </c>
      <c r="E1323" s="60" t="str">
        <f>IFERROR(__xludf.DUMMYFUNCTION("""COMPUTED_VALUE"""),"https://www.facebook.com/usconsulatemonterrey")</f>
        <v>https://www.facebook.com/usconsulatemonterrey</v>
      </c>
    </row>
    <row r="1324">
      <c r="A1324" s="59" t="str">
        <f>IFERROR(__xludf.DUMMYFUNCTION("""COMPUTED_VALUE"""),"WHA")</f>
        <v>WHA</v>
      </c>
      <c r="B1324" s="59" t="str">
        <f>IFERROR(__xludf.DUMMYFUNCTION("""COMPUTED_VALUE"""),"Mexico")</f>
        <v>Mexico</v>
      </c>
      <c r="C1324" s="59" t="str">
        <f>IFERROR(__xludf.DUMMYFUNCTION("""COMPUTED_VALUE"""),"U.S. Consulate General Monterrey")</f>
        <v>U.S. Consulate General Monterrey</v>
      </c>
      <c r="D1324" s="59" t="str">
        <f>IFERROR(__xludf.DUMMYFUNCTION("""COMPUTED_VALUE"""),"Flickr")</f>
        <v>Flickr</v>
      </c>
      <c r="E1324" s="60" t="str">
        <f>IFERROR(__xludf.DUMMYFUNCTION("""COMPUTED_VALUE"""),"https://www.flickr.com/photos/uscgmonterrey/sets/")</f>
        <v>https://www.flickr.com/photos/uscgmonterrey/sets/</v>
      </c>
    </row>
    <row r="1325">
      <c r="A1325" s="59" t="str">
        <f>IFERROR(__xludf.DUMMYFUNCTION("""COMPUTED_VALUE"""),"WHA")</f>
        <v>WHA</v>
      </c>
      <c r="B1325" s="59" t="str">
        <f>IFERROR(__xludf.DUMMYFUNCTION("""COMPUTED_VALUE"""),"Mexico")</f>
        <v>Mexico</v>
      </c>
      <c r="C1325" s="59" t="str">
        <f>IFERROR(__xludf.DUMMYFUNCTION("""COMPUTED_VALUE"""),"U.S. Consulate General Monterrey")</f>
        <v>U.S. Consulate General Monterrey</v>
      </c>
      <c r="D1325" s="59" t="str">
        <f>IFERROR(__xludf.DUMMYFUNCTION("""COMPUTED_VALUE"""),"X")</f>
        <v>X</v>
      </c>
      <c r="E1325" s="60" t="str">
        <f>IFERROR(__xludf.DUMMYFUNCTION("""COMPUTED_VALUE"""),"https://x.com/USConsulateMTY")</f>
        <v>https://x.com/USConsulateMTY</v>
      </c>
    </row>
    <row r="1326">
      <c r="A1326" s="59" t="str">
        <f>IFERROR(__xludf.DUMMYFUNCTION("""COMPUTED_VALUE"""),"WHA")</f>
        <v>WHA</v>
      </c>
      <c r="B1326" s="59" t="str">
        <f>IFERROR(__xludf.DUMMYFUNCTION("""COMPUTED_VALUE"""),"Mexico")</f>
        <v>Mexico</v>
      </c>
      <c r="C1326" s="59" t="str">
        <f>IFERROR(__xludf.DUMMYFUNCTION("""COMPUTED_VALUE"""),"U.S. Consulate General Monterrey")</f>
        <v>U.S. Consulate General Monterrey</v>
      </c>
      <c r="D1326" s="59" t="str">
        <f>IFERROR(__xludf.DUMMYFUNCTION("""COMPUTED_VALUE"""),"YouTube")</f>
        <v>YouTube</v>
      </c>
      <c r="E1326" s="60" t="str">
        <f>IFERROR(__xludf.DUMMYFUNCTION("""COMPUTED_VALUE"""),"youtube.com/user/AmericanConsulateMTY")</f>
        <v>youtube.com/user/AmericanConsulateMTY</v>
      </c>
    </row>
    <row r="1327">
      <c r="A1327" s="59" t="str">
        <f>IFERROR(__xludf.DUMMYFUNCTION("""COMPUTED_VALUE"""),"WHA")</f>
        <v>WHA</v>
      </c>
      <c r="B1327" s="59" t="str">
        <f>IFERROR(__xludf.DUMMYFUNCTION("""COMPUTED_VALUE"""),"Mexico")</f>
        <v>Mexico</v>
      </c>
      <c r="C1327" s="59" t="str">
        <f>IFERROR(__xludf.DUMMYFUNCTION("""COMPUTED_VALUE"""),"U.S. Consulate General Nogales")</f>
        <v>U.S. Consulate General Nogales</v>
      </c>
      <c r="D1327" s="59" t="str">
        <f>IFERROR(__xludf.DUMMYFUNCTION("""COMPUTED_VALUE"""),"Facebook")</f>
        <v>Facebook</v>
      </c>
      <c r="E1327" s="60" t="str">
        <f>IFERROR(__xludf.DUMMYFUNCTION("""COMPUTED_VALUE"""),"https://www.facebook.com/ConsuladoNogales/")</f>
        <v>https://www.facebook.com/ConsuladoNogales/</v>
      </c>
    </row>
    <row r="1328">
      <c r="A1328" s="59" t="str">
        <f>IFERROR(__xludf.DUMMYFUNCTION("""COMPUTED_VALUE"""),"WHA")</f>
        <v>WHA</v>
      </c>
      <c r="B1328" s="59" t="str">
        <f>IFERROR(__xludf.DUMMYFUNCTION("""COMPUTED_VALUE"""),"Mexico")</f>
        <v>Mexico</v>
      </c>
      <c r="C1328" s="59" t="str">
        <f>IFERROR(__xludf.DUMMYFUNCTION("""COMPUTED_VALUE"""),"U.S. Consulate General Nogales")</f>
        <v>U.S. Consulate General Nogales</v>
      </c>
      <c r="D1328" s="59" t="str">
        <f>IFERROR(__xludf.DUMMYFUNCTION("""COMPUTED_VALUE"""),"X")</f>
        <v>X</v>
      </c>
      <c r="E1328" s="60" t="str">
        <f>IFERROR(__xludf.DUMMYFUNCTION("""COMPUTED_VALUE"""),"https://x.com/USCGNogales")</f>
        <v>https://x.com/USCGNogales</v>
      </c>
    </row>
    <row r="1329">
      <c r="A1329" s="59" t="str">
        <f>IFERROR(__xludf.DUMMYFUNCTION("""COMPUTED_VALUE"""),"WHA")</f>
        <v>WHA</v>
      </c>
      <c r="B1329" s="59" t="str">
        <f>IFERROR(__xludf.DUMMYFUNCTION("""COMPUTED_VALUE"""),"Mexico")</f>
        <v>Mexico</v>
      </c>
      <c r="C1329" s="59" t="str">
        <f>IFERROR(__xludf.DUMMYFUNCTION("""COMPUTED_VALUE"""),"U.S. Consulate General Nuevo Laredo")</f>
        <v>U.S. Consulate General Nuevo Laredo</v>
      </c>
      <c r="D1329" s="59" t="str">
        <f>IFERROR(__xludf.DUMMYFUNCTION("""COMPUTED_VALUE"""),"Facebook")</f>
        <v>Facebook</v>
      </c>
      <c r="E1329" s="60" t="str">
        <f>IFERROR(__xludf.DUMMYFUNCTION("""COMPUTED_VALUE"""),"https://www.facebook.com/consuladonuevolaredo/")</f>
        <v>https://www.facebook.com/consuladonuevolaredo/</v>
      </c>
    </row>
    <row r="1330">
      <c r="A1330" s="59" t="str">
        <f>IFERROR(__xludf.DUMMYFUNCTION("""COMPUTED_VALUE"""),"WHA")</f>
        <v>WHA</v>
      </c>
      <c r="B1330" s="59" t="str">
        <f>IFERROR(__xludf.DUMMYFUNCTION("""COMPUTED_VALUE"""),"Mexico")</f>
        <v>Mexico</v>
      </c>
      <c r="C1330" s="59" t="str">
        <f>IFERROR(__xludf.DUMMYFUNCTION("""COMPUTED_VALUE"""),"U.S. Consulate General Nuevo Laredo")</f>
        <v>U.S. Consulate General Nuevo Laredo</v>
      </c>
      <c r="D1330" s="59" t="str">
        <f>IFERROR(__xludf.DUMMYFUNCTION("""COMPUTED_VALUE"""),"X")</f>
        <v>X</v>
      </c>
      <c r="E1330" s="60" t="str">
        <f>IFERROR(__xludf.DUMMYFUNCTION("""COMPUTED_VALUE"""),"https://x.com/USAConNVL")</f>
        <v>https://x.com/USAConNVL</v>
      </c>
    </row>
    <row r="1331">
      <c r="A1331" s="59" t="str">
        <f>IFERROR(__xludf.DUMMYFUNCTION("""COMPUTED_VALUE"""),"WHA")</f>
        <v>WHA</v>
      </c>
      <c r="B1331" s="59" t="str">
        <f>IFERROR(__xludf.DUMMYFUNCTION("""COMPUTED_VALUE"""),"Mexico")</f>
        <v>Mexico</v>
      </c>
      <c r="C1331" s="59" t="str">
        <f>IFERROR(__xludf.DUMMYFUNCTION("""COMPUTED_VALUE"""),"U.S. Consulate General Tijuana")</f>
        <v>U.S. Consulate General Tijuana</v>
      </c>
      <c r="D1331" s="59" t="str">
        <f>IFERROR(__xludf.DUMMYFUNCTION("""COMPUTED_VALUE"""),"Facebook")</f>
        <v>Facebook</v>
      </c>
      <c r="E1331" s="60" t="str">
        <f>IFERROR(__xludf.DUMMYFUNCTION("""COMPUTED_VALUE"""),"https://www.facebook.com/ConsuladoEstadosUnidosTijuana/")</f>
        <v>https://www.facebook.com/ConsuladoEstadosUnidosTijuana/</v>
      </c>
    </row>
    <row r="1332">
      <c r="A1332" s="59" t="str">
        <f>IFERROR(__xludf.DUMMYFUNCTION("""COMPUTED_VALUE"""),"WHA")</f>
        <v>WHA</v>
      </c>
      <c r="B1332" s="59" t="str">
        <f>IFERROR(__xludf.DUMMYFUNCTION("""COMPUTED_VALUE"""),"Mexico")</f>
        <v>Mexico</v>
      </c>
      <c r="C1332" s="59" t="str">
        <f>IFERROR(__xludf.DUMMYFUNCTION("""COMPUTED_VALUE"""),"U.S. Consulate General Tijuana")</f>
        <v>U.S. Consulate General Tijuana</v>
      </c>
      <c r="D1332" s="59" t="str">
        <f>IFERROR(__xludf.DUMMYFUNCTION("""COMPUTED_VALUE"""),"X")</f>
        <v>X</v>
      </c>
      <c r="E1332" s="60" t="str">
        <f>IFERROR(__xludf.DUMMYFUNCTION("""COMPUTED_VALUE"""),"https://x.com/ConsuladoUSATJ")</f>
        <v>https://x.com/ConsuladoUSATJ</v>
      </c>
    </row>
    <row r="1333">
      <c r="A1333" s="59" t="str">
        <f>IFERROR(__xludf.DUMMYFUNCTION("""COMPUTED_VALUE"""),"WHA")</f>
        <v>WHA</v>
      </c>
      <c r="B1333" s="59" t="str">
        <f>IFERROR(__xludf.DUMMYFUNCTION("""COMPUTED_VALUE"""),"Mexico")</f>
        <v>Mexico</v>
      </c>
      <c r="C1333" s="59" t="str">
        <f>IFERROR(__xludf.DUMMYFUNCTION("""COMPUTED_VALUE"""),"U.S. Consulate General Tijuana")</f>
        <v>U.S. Consulate General Tijuana</v>
      </c>
      <c r="D1333" s="59" t="str">
        <f>IFERROR(__xludf.DUMMYFUNCTION("""COMPUTED_VALUE"""),"YouTube")</f>
        <v>YouTube</v>
      </c>
      <c r="E1333" s="60" t="str">
        <f>IFERROR(__xludf.DUMMYFUNCTION("""COMPUTED_VALUE"""),"youtube.com/user/usconsulatetj")</f>
        <v>youtube.com/user/usconsulatetj</v>
      </c>
    </row>
    <row r="1334">
      <c r="A1334" s="59" t="str">
        <f>IFERROR(__xludf.DUMMYFUNCTION("""COMPUTED_VALUE"""),"WHA")</f>
        <v>WHA</v>
      </c>
      <c r="B1334" s="59" t="str">
        <f>IFERROR(__xludf.DUMMYFUNCTION("""COMPUTED_VALUE"""),"Mexico")</f>
        <v>Mexico</v>
      </c>
      <c r="C1334" s="59" t="str">
        <f>IFERROR(__xludf.DUMMYFUNCTION("""COMPUTED_VALUE"""),"U.S. Embassy Mexico City")</f>
        <v>U.S. Embassy Mexico City</v>
      </c>
      <c r="D1334" s="59" t="str">
        <f>IFERROR(__xludf.DUMMYFUNCTION("""COMPUTED_VALUE"""),"Facebook")</f>
        <v>Facebook</v>
      </c>
      <c r="E1334" s="60" t="str">
        <f>IFERROR(__xludf.DUMMYFUNCTION("""COMPUTED_VALUE"""),"https://www.facebook.com/mexico.usembassy/")</f>
        <v>https://www.facebook.com/mexico.usembassy/</v>
      </c>
    </row>
    <row r="1335">
      <c r="A1335" s="59" t="str">
        <f>IFERROR(__xludf.DUMMYFUNCTION("""COMPUTED_VALUE"""),"WHA")</f>
        <v>WHA</v>
      </c>
      <c r="B1335" s="59" t="str">
        <f>IFERROR(__xludf.DUMMYFUNCTION("""COMPUTED_VALUE"""),"Mexico")</f>
        <v>Mexico</v>
      </c>
      <c r="C1335" s="59" t="str">
        <f>IFERROR(__xludf.DUMMYFUNCTION("""COMPUTED_VALUE"""),"U.S. Embassy Mexico City")</f>
        <v>U.S. Embassy Mexico City</v>
      </c>
      <c r="D1335" s="59" t="str">
        <f>IFERROR(__xludf.DUMMYFUNCTION("""COMPUTED_VALUE"""),"Instagram")</f>
        <v>Instagram</v>
      </c>
      <c r="E1335" s="60" t="str">
        <f>IFERROR(__xludf.DUMMYFUNCTION("""COMPUTED_VALUE"""),"https://www.instagram.com/usembassymex")</f>
        <v>https://www.instagram.com/usembassymex</v>
      </c>
    </row>
    <row r="1336">
      <c r="A1336" s="59" t="str">
        <f>IFERROR(__xludf.DUMMYFUNCTION("""COMPUTED_VALUE"""),"WHA")</f>
        <v>WHA</v>
      </c>
      <c r="B1336" s="59" t="str">
        <f>IFERROR(__xludf.DUMMYFUNCTION("""COMPUTED_VALUE"""),"Mexico")</f>
        <v>Mexico</v>
      </c>
      <c r="C1336" s="59" t="str">
        <f>IFERROR(__xludf.DUMMYFUNCTION("""COMPUTED_VALUE"""),"U.S. Embassy Mexico City")</f>
        <v>U.S. Embassy Mexico City</v>
      </c>
      <c r="D1336" s="59" t="str">
        <f>IFERROR(__xludf.DUMMYFUNCTION("""COMPUTED_VALUE"""),"LinkedIn")</f>
        <v>LinkedIn</v>
      </c>
      <c r="E1336" s="60" t="str">
        <f>IFERROR(__xludf.DUMMYFUNCTION("""COMPUTED_VALUE"""),"https://www.linkedin.com/company/u.s.-embassy-in-mexico/")</f>
        <v>https://www.linkedin.com/company/u.s.-embassy-in-mexico/</v>
      </c>
    </row>
    <row r="1337">
      <c r="A1337" s="59" t="str">
        <f>IFERROR(__xludf.DUMMYFUNCTION("""COMPUTED_VALUE"""),"WHA")</f>
        <v>WHA</v>
      </c>
      <c r="B1337" s="59" t="str">
        <f>IFERROR(__xludf.DUMMYFUNCTION("""COMPUTED_VALUE"""),"Mexico")</f>
        <v>Mexico</v>
      </c>
      <c r="C1337" s="59" t="str">
        <f>IFERROR(__xludf.DUMMYFUNCTION("""COMPUTED_VALUE"""),"U.S. Embassy Mexico City")</f>
        <v>U.S. Embassy Mexico City</v>
      </c>
      <c r="D1337" s="59" t="str">
        <f>IFERROR(__xludf.DUMMYFUNCTION("""COMPUTED_VALUE"""),"X")</f>
        <v>X</v>
      </c>
      <c r="E1337" s="60" t="str">
        <f>IFERROR(__xludf.DUMMYFUNCTION("""COMPUTED_VALUE"""),"https://x.com/USConsularMex")</f>
        <v>https://x.com/USConsularMex</v>
      </c>
    </row>
    <row r="1338">
      <c r="A1338" s="59" t="str">
        <f>IFERROR(__xludf.DUMMYFUNCTION("""COMPUTED_VALUE"""),"WHA")</f>
        <v>WHA</v>
      </c>
      <c r="B1338" s="59" t="str">
        <f>IFERROR(__xludf.DUMMYFUNCTION("""COMPUTED_VALUE"""),"Mexico")</f>
        <v>Mexico</v>
      </c>
      <c r="C1338" s="59" t="str">
        <f>IFERROR(__xludf.DUMMYFUNCTION("""COMPUTED_VALUE"""),"U.S. Embassy Mexico City")</f>
        <v>U.S. Embassy Mexico City</v>
      </c>
      <c r="D1338" s="59" t="str">
        <f>IFERROR(__xludf.DUMMYFUNCTION("""COMPUTED_VALUE"""),"X")</f>
        <v>X</v>
      </c>
      <c r="E1338" s="60" t="str">
        <f>IFERROR(__xludf.DUMMYFUNCTION("""COMPUTED_VALUE"""),"https://x.com/USEmbassyMEX")</f>
        <v>https://x.com/USEmbassyMEX</v>
      </c>
    </row>
    <row r="1339">
      <c r="A1339" s="59" t="str">
        <f>IFERROR(__xludf.DUMMYFUNCTION("""COMPUTED_VALUE"""),"WHA")</f>
        <v>WHA</v>
      </c>
      <c r="B1339" s="59" t="str">
        <f>IFERROR(__xludf.DUMMYFUNCTION("""COMPUTED_VALUE"""),"Mexico")</f>
        <v>Mexico</v>
      </c>
      <c r="C1339" s="59" t="str">
        <f>IFERROR(__xludf.DUMMYFUNCTION("""COMPUTED_VALUE"""),"U.S. Embassy Mexico City")</f>
        <v>U.S. Embassy Mexico City</v>
      </c>
      <c r="D1339" s="59" t="str">
        <f>IFERROR(__xludf.DUMMYFUNCTION("""COMPUTED_VALUE"""),"YouTube")</f>
        <v>YouTube</v>
      </c>
      <c r="E1339" s="60" t="str">
        <f>IFERROR(__xludf.DUMMYFUNCTION("""COMPUTED_VALUE"""),"youtube.com/user/usembassymx")</f>
        <v>youtube.com/user/usembassymx</v>
      </c>
    </row>
    <row r="1340">
      <c r="A1340" s="59" t="str">
        <f>IFERROR(__xludf.DUMMYFUNCTION("""COMPUTED_VALUE"""),"WHA")</f>
        <v>WHA</v>
      </c>
      <c r="B1340" s="59" t="str">
        <f>IFERROR(__xludf.DUMMYFUNCTION("""COMPUTED_VALUE"""),"Mexico")</f>
        <v>Mexico</v>
      </c>
      <c r="C1340" s="59" t="str">
        <f>IFERROR(__xludf.DUMMYFUNCTION("""COMPUTED_VALUE"""),"U.S. Embassy Mexico City")</f>
        <v>U.S. Embassy Mexico City</v>
      </c>
      <c r="D1340" s="59" t="str">
        <f>IFERROR(__xludf.DUMMYFUNCTION("""COMPUTED_VALUE"""),"WhatsApp")</f>
        <v>WhatsApp</v>
      </c>
      <c r="E1340" s="60" t="str">
        <f>IFERROR(__xludf.DUMMYFUNCTION("""COMPUTED_VALUE"""),"https://www.whatsapp.com/channel/0029VaNr4kZ3wtbHFxm9Dh2D")</f>
        <v>https://www.whatsapp.com/channel/0029VaNr4kZ3wtbHFxm9Dh2D</v>
      </c>
    </row>
    <row r="1341">
      <c r="A1341" s="59" t="str">
        <f>IFERROR(__xludf.DUMMYFUNCTION("""COMPUTED_VALUE"""),"WHA")</f>
        <v>WHA</v>
      </c>
      <c r="B1341" s="59" t="str">
        <f>IFERROR(__xludf.DUMMYFUNCTION("""COMPUTED_VALUE"""),"Mexico")</f>
        <v>Mexico</v>
      </c>
      <c r="C1341" s="59" t="str">
        <f>IFERROR(__xludf.DUMMYFUNCTION("""COMPUTED_VALUE"""),"U.S. Embassy Mexico City")</f>
        <v>U.S. Embassy Mexico City</v>
      </c>
      <c r="D1341" s="59" t="str">
        <f>IFERROR(__xludf.DUMMYFUNCTION("""COMPUTED_VALUE"""),"WhatsApp")</f>
        <v>WhatsApp</v>
      </c>
      <c r="E1341" s="60" t="str">
        <f>IFERROR(__xludf.DUMMYFUNCTION("""COMPUTED_VALUE"""),"https://www.whatsapp.com/channel/0029Va7VTm42P59qkRYcyl3M")</f>
        <v>https://www.whatsapp.com/channel/0029Va7VTm42P59qkRYcyl3M</v>
      </c>
    </row>
    <row r="1342">
      <c r="A1342" s="59" t="str">
        <f>IFERROR(__xludf.DUMMYFUNCTION("""COMPUTED_VALUE"""),"WHA")</f>
        <v>WHA</v>
      </c>
      <c r="B1342" s="59" t="str">
        <f>IFERROR(__xludf.DUMMYFUNCTION("""COMPUTED_VALUE"""),"Mexico")</f>
        <v>Mexico</v>
      </c>
      <c r="C1342" s="59" t="str">
        <f>IFERROR(__xludf.DUMMYFUNCTION("""COMPUTED_VALUE"""),"U.S. Embassy Mexico City")</f>
        <v>U.S. Embassy Mexico City</v>
      </c>
      <c r="D1342" s="59" t="str">
        <f>IFERROR(__xludf.DUMMYFUNCTION("""COMPUTED_VALUE"""),"Flickr")</f>
        <v>Flickr</v>
      </c>
      <c r="E1342" s="60" t="str">
        <f>IFERROR(__xludf.DUMMYFUNCTION("""COMPUTED_VALUE"""),"https://www.flickr.com/photos/61972246@N08/")</f>
        <v>https://www.flickr.com/photos/61972246@N08/</v>
      </c>
    </row>
    <row r="1343">
      <c r="A1343" s="59" t="str">
        <f>IFERROR(__xludf.DUMMYFUNCTION("""COMPUTED_VALUE"""),"WHA")</f>
        <v>WHA</v>
      </c>
      <c r="B1343" s="59" t="str">
        <f>IFERROR(__xludf.DUMMYFUNCTION("""COMPUTED_VALUE"""),"Nicaragua")</f>
        <v>Nicaragua</v>
      </c>
      <c r="C1343" s="59" t="str">
        <f>IFERROR(__xludf.DUMMYFUNCTION("""COMPUTED_VALUE"""),"U.S. Ambassador to Nicaragua")</f>
        <v>U.S. Ambassador to Nicaragua</v>
      </c>
      <c r="D1343" s="59" t="str">
        <f>IFERROR(__xludf.DUMMYFUNCTION("""COMPUTED_VALUE"""),"X")</f>
        <v>X</v>
      </c>
      <c r="E1343" s="60" t="str">
        <f>IFERROR(__xludf.DUMMYFUNCTION("""COMPUTED_VALUE"""),"https://x.com/USAmbNicaragua")</f>
        <v>https://x.com/USAmbNicaragua</v>
      </c>
    </row>
    <row r="1344">
      <c r="A1344" s="59" t="str">
        <f>IFERROR(__xludf.DUMMYFUNCTION("""COMPUTED_VALUE"""),"WHA")</f>
        <v>WHA</v>
      </c>
      <c r="B1344" s="59" t="str">
        <f>IFERROR(__xludf.DUMMYFUNCTION("""COMPUTED_VALUE"""),"Nicaragua")</f>
        <v>Nicaragua</v>
      </c>
      <c r="C1344" s="59" t="str">
        <f>IFERROR(__xludf.DUMMYFUNCTION("""COMPUTED_VALUE"""),"U.S. Embassy Managua")</f>
        <v>U.S. Embassy Managua</v>
      </c>
      <c r="D1344" s="59" t="str">
        <f>IFERROR(__xludf.DUMMYFUNCTION("""COMPUTED_VALUE"""),"Facebook")</f>
        <v>Facebook</v>
      </c>
      <c r="E1344" s="60" t="str">
        <f>IFERROR(__xludf.DUMMYFUNCTION("""COMPUTED_VALUE"""),"https://www.facebook.com/embusanic/")</f>
        <v>https://www.facebook.com/embusanic/</v>
      </c>
    </row>
    <row r="1345">
      <c r="A1345" s="59" t="str">
        <f>IFERROR(__xludf.DUMMYFUNCTION("""COMPUTED_VALUE"""),"WHA")</f>
        <v>WHA</v>
      </c>
      <c r="B1345" s="59" t="str">
        <f>IFERROR(__xludf.DUMMYFUNCTION("""COMPUTED_VALUE"""),"Nicaragua")</f>
        <v>Nicaragua</v>
      </c>
      <c r="C1345" s="59" t="str">
        <f>IFERROR(__xludf.DUMMYFUNCTION("""COMPUTED_VALUE"""),"U.S. Embassy Managua")</f>
        <v>U.S. Embassy Managua</v>
      </c>
      <c r="D1345" s="59" t="str">
        <f>IFERROR(__xludf.DUMMYFUNCTION("""COMPUTED_VALUE"""),"Instagram")</f>
        <v>Instagram</v>
      </c>
      <c r="E1345" s="60" t="str">
        <f>IFERROR(__xludf.DUMMYFUNCTION("""COMPUTED_VALUE"""),"https://www.instagram.com/embusanic")</f>
        <v>https://www.instagram.com/embusanic</v>
      </c>
    </row>
    <row r="1346">
      <c r="A1346" s="59" t="str">
        <f>IFERROR(__xludf.DUMMYFUNCTION("""COMPUTED_VALUE"""),"WHA")</f>
        <v>WHA</v>
      </c>
      <c r="B1346" s="59" t="str">
        <f>IFERROR(__xludf.DUMMYFUNCTION("""COMPUTED_VALUE"""),"Nicaragua")</f>
        <v>Nicaragua</v>
      </c>
      <c r="C1346" s="59" t="str">
        <f>IFERROR(__xludf.DUMMYFUNCTION("""COMPUTED_VALUE"""),"U.S. Embassy Managua")</f>
        <v>U.S. Embassy Managua</v>
      </c>
      <c r="D1346" s="59" t="str">
        <f>IFERROR(__xludf.DUMMYFUNCTION("""COMPUTED_VALUE"""),"X")</f>
        <v>X</v>
      </c>
      <c r="E1346" s="60" t="str">
        <f>IFERROR(__xludf.DUMMYFUNCTION("""COMPUTED_VALUE"""),"https://x.com/USEmbNicaragua")</f>
        <v>https://x.com/USEmbNicaragua</v>
      </c>
    </row>
    <row r="1347">
      <c r="A1347" s="59" t="str">
        <f>IFERROR(__xludf.DUMMYFUNCTION("""COMPUTED_VALUE"""),"WHA")</f>
        <v>WHA</v>
      </c>
      <c r="B1347" s="59" t="str">
        <f>IFERROR(__xludf.DUMMYFUNCTION("""COMPUTED_VALUE"""),"Nicaragua")</f>
        <v>Nicaragua</v>
      </c>
      <c r="C1347" s="59" t="str">
        <f>IFERROR(__xludf.DUMMYFUNCTION("""COMPUTED_VALUE"""),"U.S. Embassy Managua")</f>
        <v>U.S. Embassy Managua</v>
      </c>
      <c r="D1347" s="59" t="str">
        <f>IFERROR(__xludf.DUMMYFUNCTION("""COMPUTED_VALUE"""),"LinkedIn")</f>
        <v>LinkedIn</v>
      </c>
      <c r="E1347" s="60" t="str">
        <f>IFERROR(__xludf.DUMMYFUNCTION("""COMPUTED_VALUE"""),"https://www.linkedin.com/company/usembassymanagua/")</f>
        <v>https://www.linkedin.com/company/usembassymanagua/</v>
      </c>
    </row>
    <row r="1348">
      <c r="A1348" s="59" t="str">
        <f>IFERROR(__xludf.DUMMYFUNCTION("""COMPUTED_VALUE"""),"WHA")</f>
        <v>WHA</v>
      </c>
      <c r="B1348" s="59" t="str">
        <f>IFERROR(__xludf.DUMMYFUNCTION("""COMPUTED_VALUE"""),"Nicaragua")</f>
        <v>Nicaragua</v>
      </c>
      <c r="C1348" s="59" t="str">
        <f>IFERROR(__xludf.DUMMYFUNCTION("""COMPUTED_VALUE"""),"U.S. Embassy Managua")</f>
        <v>U.S. Embassy Managua</v>
      </c>
      <c r="D1348" s="59" t="str">
        <f>IFERROR(__xludf.DUMMYFUNCTION("""COMPUTED_VALUE"""),"Flickr")</f>
        <v>Flickr</v>
      </c>
      <c r="E1348" s="60" t="str">
        <f>IFERROR(__xludf.DUMMYFUNCTION("""COMPUTED_VALUE"""),"https://www.flickr.com/photos/usembassymga/")</f>
        <v>https://www.flickr.com/photos/usembassymga/</v>
      </c>
    </row>
    <row r="1349">
      <c r="A1349" s="59" t="str">
        <f>IFERROR(__xludf.DUMMYFUNCTION("""COMPUTED_VALUE"""),"WHA")</f>
        <v>WHA</v>
      </c>
      <c r="B1349" s="59" t="str">
        <f>IFERROR(__xludf.DUMMYFUNCTION("""COMPUTED_VALUE"""),"Panama")</f>
        <v>Panama</v>
      </c>
      <c r="C1349" s="59" t="str">
        <f>IFERROR(__xludf.DUMMYFUNCTION("""COMPUTED_VALUE"""),"U.S. Ambassador to Panama")</f>
        <v>U.S. Ambassador to Panama</v>
      </c>
      <c r="D1349" s="59" t="str">
        <f>IFERROR(__xludf.DUMMYFUNCTION("""COMPUTED_VALUE"""),"X")</f>
        <v>X</v>
      </c>
      <c r="E1349" s="60" t="str">
        <f>IFERROR(__xludf.DUMMYFUNCTION("""COMPUTED_VALUE"""),"https://x.com/USAmbassadorPAN")</f>
        <v>https://x.com/USAmbassadorPAN</v>
      </c>
    </row>
    <row r="1350">
      <c r="A1350" s="59" t="str">
        <f>IFERROR(__xludf.DUMMYFUNCTION("""COMPUTED_VALUE"""),"WHA")</f>
        <v>WHA</v>
      </c>
      <c r="B1350" s="59" t="str">
        <f>IFERROR(__xludf.DUMMYFUNCTION("""COMPUTED_VALUE"""),"Panama")</f>
        <v>Panama</v>
      </c>
      <c r="C1350" s="59" t="str">
        <f>IFERROR(__xludf.DUMMYFUNCTION("""COMPUTED_VALUE"""),"U.S. Embassy Panama City")</f>
        <v>U.S. Embassy Panama City</v>
      </c>
      <c r="D1350" s="59" t="str">
        <f>IFERROR(__xludf.DUMMYFUNCTION("""COMPUTED_VALUE"""),"Facebook")</f>
        <v>Facebook</v>
      </c>
      <c r="E1350" s="60" t="str">
        <f>IFERROR(__xludf.DUMMYFUNCTION("""COMPUTED_VALUE"""),"https://www.facebook.com/panamaestamosunidos/")</f>
        <v>https://www.facebook.com/panamaestamosunidos/</v>
      </c>
    </row>
    <row r="1351">
      <c r="A1351" s="59" t="str">
        <f>IFERROR(__xludf.DUMMYFUNCTION("""COMPUTED_VALUE"""),"WHA")</f>
        <v>WHA</v>
      </c>
      <c r="B1351" s="59" t="str">
        <f>IFERROR(__xludf.DUMMYFUNCTION("""COMPUTED_VALUE"""),"Panama")</f>
        <v>Panama</v>
      </c>
      <c r="C1351" s="59" t="str">
        <f>IFERROR(__xludf.DUMMYFUNCTION("""COMPUTED_VALUE"""),"U.S. Embassy Panama City")</f>
        <v>U.S. Embassy Panama City</v>
      </c>
      <c r="D1351" s="59" t="str">
        <f>IFERROR(__xludf.DUMMYFUNCTION("""COMPUTED_VALUE"""),"Instagram")</f>
        <v>Instagram</v>
      </c>
      <c r="E1351" s="60" t="str">
        <f>IFERROR(__xludf.DUMMYFUNCTION("""COMPUTED_VALUE"""),"https://www.instagram.com/usembpan")</f>
        <v>https://www.instagram.com/usembpan</v>
      </c>
    </row>
    <row r="1352">
      <c r="A1352" s="59" t="str">
        <f>IFERROR(__xludf.DUMMYFUNCTION("""COMPUTED_VALUE"""),"WHA")</f>
        <v>WHA</v>
      </c>
      <c r="B1352" s="59" t="str">
        <f>IFERROR(__xludf.DUMMYFUNCTION("""COMPUTED_VALUE"""),"Panama")</f>
        <v>Panama</v>
      </c>
      <c r="C1352" s="59" t="str">
        <f>IFERROR(__xludf.DUMMYFUNCTION("""COMPUTED_VALUE"""),"U.S. Embassy Panama City")</f>
        <v>U.S. Embassy Panama City</v>
      </c>
      <c r="D1352" s="59" t="str">
        <f>IFERROR(__xludf.DUMMYFUNCTION("""COMPUTED_VALUE"""),"X")</f>
        <v>X</v>
      </c>
      <c r="E1352" s="60" t="str">
        <f>IFERROR(__xludf.DUMMYFUNCTION("""COMPUTED_VALUE"""),"https://x.com/USEmbPAN")</f>
        <v>https://x.com/USEmbPAN</v>
      </c>
    </row>
    <row r="1353">
      <c r="A1353" s="59" t="str">
        <f>IFERROR(__xludf.DUMMYFUNCTION("""COMPUTED_VALUE"""),"WHA")</f>
        <v>WHA</v>
      </c>
      <c r="B1353" s="59" t="str">
        <f>IFERROR(__xludf.DUMMYFUNCTION("""COMPUTED_VALUE"""),"Panama")</f>
        <v>Panama</v>
      </c>
      <c r="C1353" s="59" t="str">
        <f>IFERROR(__xludf.DUMMYFUNCTION("""COMPUTED_VALUE"""),"U.S. Embassy Panama City")</f>
        <v>U.S. Embassy Panama City</v>
      </c>
      <c r="D1353" s="59" t="str">
        <f>IFERROR(__xludf.DUMMYFUNCTION("""COMPUTED_VALUE"""),"LinkedIn")</f>
        <v>LinkedIn</v>
      </c>
      <c r="E1353" s="60" t="str">
        <f>IFERROR(__xludf.DUMMYFUNCTION("""COMPUTED_VALUE"""),"https://www.linkedin.com/company/u-s-embassy-panama/")</f>
        <v>https://www.linkedin.com/company/u-s-embassy-panama/</v>
      </c>
    </row>
    <row r="1354">
      <c r="A1354" s="59" t="str">
        <f>IFERROR(__xludf.DUMMYFUNCTION("""COMPUTED_VALUE"""),"WHA")</f>
        <v>WHA</v>
      </c>
      <c r="B1354" s="59" t="str">
        <f>IFERROR(__xludf.DUMMYFUNCTION("""COMPUTED_VALUE"""),"Panama")</f>
        <v>Panama</v>
      </c>
      <c r="C1354" s="59" t="str">
        <f>IFERROR(__xludf.DUMMYFUNCTION("""COMPUTED_VALUE"""),"U.S. Embassy Panama City")</f>
        <v>U.S. Embassy Panama City</v>
      </c>
      <c r="D1354" s="59" t="str">
        <f>IFERROR(__xludf.DUMMYFUNCTION("""COMPUTED_VALUE"""),"Flickr")</f>
        <v>Flickr</v>
      </c>
      <c r="E1354" s="60" t="str">
        <f>IFERROR(__xludf.DUMMYFUNCTION("""COMPUTED_VALUE"""),"https://www.flickr.com/photos/usembassypanama")</f>
        <v>https://www.flickr.com/photos/usembassypanama</v>
      </c>
    </row>
    <row r="1355">
      <c r="A1355" s="59" t="str">
        <f>IFERROR(__xludf.DUMMYFUNCTION("""COMPUTED_VALUE"""),"WHA")</f>
        <v>WHA</v>
      </c>
      <c r="B1355" s="59" t="str">
        <f>IFERROR(__xludf.DUMMYFUNCTION("""COMPUTED_VALUE"""),"Paraguay")</f>
        <v>Paraguay</v>
      </c>
      <c r="C1355" s="59" t="str">
        <f>IFERROR(__xludf.DUMMYFUNCTION("""COMPUTED_VALUE"""),"U.S. Ambassador to Paraguay")</f>
        <v>U.S. Ambassador to Paraguay</v>
      </c>
      <c r="D1355" s="59" t="str">
        <f>IFERROR(__xludf.DUMMYFUNCTION("""COMPUTED_VALUE"""),"X")</f>
        <v>X</v>
      </c>
      <c r="E1355" s="60" t="str">
        <f>IFERROR(__xludf.DUMMYFUNCTION("""COMPUTED_VALUE"""),"https://x.com/USAmbPY")</f>
        <v>https://x.com/USAmbPY</v>
      </c>
    </row>
    <row r="1356">
      <c r="A1356" s="59" t="str">
        <f>IFERROR(__xludf.DUMMYFUNCTION("""COMPUTED_VALUE"""),"WHA")</f>
        <v>WHA</v>
      </c>
      <c r="B1356" s="59" t="str">
        <f>IFERROR(__xludf.DUMMYFUNCTION("""COMPUTED_VALUE"""),"Paraguay")</f>
        <v>Paraguay</v>
      </c>
      <c r="C1356" s="59" t="str">
        <f>IFERROR(__xludf.DUMMYFUNCTION("""COMPUTED_VALUE"""),"U.S. Embassy Asuncion")</f>
        <v>U.S. Embassy Asuncion</v>
      </c>
      <c r="D1356" s="59" t="str">
        <f>IFERROR(__xludf.DUMMYFUNCTION("""COMPUTED_VALUE"""),"Facebook")</f>
        <v>Facebook</v>
      </c>
      <c r="E1356" s="60" t="str">
        <f>IFERROR(__xludf.DUMMYFUNCTION("""COMPUTED_VALUE"""),"https://www.facebook.com/laembajada")</f>
        <v>https://www.facebook.com/laembajada</v>
      </c>
    </row>
    <row r="1357">
      <c r="A1357" s="59" t="str">
        <f>IFERROR(__xludf.DUMMYFUNCTION("""COMPUTED_VALUE"""),"WHA")</f>
        <v>WHA</v>
      </c>
      <c r="B1357" s="59" t="str">
        <f>IFERROR(__xludf.DUMMYFUNCTION("""COMPUTED_VALUE"""),"Paraguay")</f>
        <v>Paraguay</v>
      </c>
      <c r="C1357" s="59" t="str">
        <f>IFERROR(__xludf.DUMMYFUNCTION("""COMPUTED_VALUE"""),"U.S. Embassy Asuncion")</f>
        <v>U.S. Embassy Asuncion</v>
      </c>
      <c r="D1357" s="59" t="str">
        <f>IFERROR(__xludf.DUMMYFUNCTION("""COMPUTED_VALUE"""),"Instagram")</f>
        <v>Instagram</v>
      </c>
      <c r="E1357" s="60" t="str">
        <f>IFERROR(__xludf.DUMMYFUNCTION("""COMPUTED_VALUE"""),"https://www.instagram.com/laembajada")</f>
        <v>https://www.instagram.com/laembajada</v>
      </c>
    </row>
    <row r="1358">
      <c r="A1358" s="59" t="str">
        <f>IFERROR(__xludf.DUMMYFUNCTION("""COMPUTED_VALUE"""),"WHA")</f>
        <v>WHA</v>
      </c>
      <c r="B1358" s="59" t="str">
        <f>IFERROR(__xludf.DUMMYFUNCTION("""COMPUTED_VALUE"""),"Paraguay")</f>
        <v>Paraguay</v>
      </c>
      <c r="C1358" s="59" t="str">
        <f>IFERROR(__xludf.DUMMYFUNCTION("""COMPUTED_VALUE"""),"U.S. Embassy Asuncion")</f>
        <v>U.S. Embassy Asuncion</v>
      </c>
      <c r="D1358" s="59" t="str">
        <f>IFERROR(__xludf.DUMMYFUNCTION("""COMPUTED_VALUE"""),"X")</f>
        <v>X</v>
      </c>
      <c r="E1358" s="60" t="str">
        <f>IFERROR(__xludf.DUMMYFUNCTION("""COMPUTED_VALUE"""),"https://x.com/laembajada")</f>
        <v>https://x.com/laembajada</v>
      </c>
    </row>
    <row r="1359">
      <c r="A1359" s="59" t="str">
        <f>IFERROR(__xludf.DUMMYFUNCTION("""COMPUTED_VALUE"""),"WHA")</f>
        <v>WHA</v>
      </c>
      <c r="B1359" s="59" t="str">
        <f>IFERROR(__xludf.DUMMYFUNCTION("""COMPUTED_VALUE"""),"Paraguay")</f>
        <v>Paraguay</v>
      </c>
      <c r="C1359" s="59" t="str">
        <f>IFERROR(__xludf.DUMMYFUNCTION("""COMPUTED_VALUE"""),"U.S. Embassy Asuncion")</f>
        <v>U.S. Embassy Asuncion</v>
      </c>
      <c r="D1359" s="59" t="str">
        <f>IFERROR(__xludf.DUMMYFUNCTION("""COMPUTED_VALUE"""),"YouTube")</f>
        <v>YouTube</v>
      </c>
      <c r="E1359" s="60" t="str">
        <f>IFERROR(__xludf.DUMMYFUNCTION("""COMPUTED_VALUE"""),"youtube.com/user/EEUUParaguay")</f>
        <v>youtube.com/user/EEUUParaguay</v>
      </c>
    </row>
    <row r="1360">
      <c r="A1360" s="59" t="str">
        <f>IFERROR(__xludf.DUMMYFUNCTION("""COMPUTED_VALUE"""),"WHA")</f>
        <v>WHA</v>
      </c>
      <c r="B1360" s="59" t="str">
        <f>IFERROR(__xludf.DUMMYFUNCTION("""COMPUTED_VALUE"""),"Paraguay")</f>
        <v>Paraguay</v>
      </c>
      <c r="C1360" s="59" t="str">
        <f>IFERROR(__xludf.DUMMYFUNCTION("""COMPUTED_VALUE"""),"U.S. Embassy Asuncion")</f>
        <v>U.S. Embassy Asuncion</v>
      </c>
      <c r="D1360" s="59" t="str">
        <f>IFERROR(__xludf.DUMMYFUNCTION("""COMPUTED_VALUE"""),"Flickr")</f>
        <v>Flickr</v>
      </c>
      <c r="E1360" s="60" t="str">
        <f>IFERROR(__xludf.DUMMYFUNCTION("""COMPUTED_VALUE"""),"https://www.flickr.com/photos/laembajada")</f>
        <v>https://www.flickr.com/photos/laembajada</v>
      </c>
    </row>
    <row r="1361">
      <c r="A1361" s="59" t="str">
        <f>IFERROR(__xludf.DUMMYFUNCTION("""COMPUTED_VALUE"""),"WHA")</f>
        <v>WHA</v>
      </c>
      <c r="B1361" s="59" t="str">
        <f>IFERROR(__xludf.DUMMYFUNCTION("""COMPUTED_VALUE"""),"Peru")</f>
        <v>Peru</v>
      </c>
      <c r="C1361" s="59" t="str">
        <f>IFERROR(__xludf.DUMMYFUNCTION("""COMPUTED_VALUE"""),"American Citizen Services Lima")</f>
        <v>American Citizen Services Lima</v>
      </c>
      <c r="D1361" s="59" t="str">
        <f>IFERROR(__xludf.DUMMYFUNCTION("""COMPUTED_VALUE"""),"Facebook")</f>
        <v>Facebook</v>
      </c>
      <c r="E1361" s="60" t="str">
        <f>IFERROR(__xludf.DUMMYFUNCTION("""COMPUTED_VALUE"""),"https://www.facebook.com/AmericanCitizenServicesLima/")</f>
        <v>https://www.facebook.com/AmericanCitizenServicesLima/</v>
      </c>
    </row>
    <row r="1362">
      <c r="A1362" s="59" t="str">
        <f>IFERROR(__xludf.DUMMYFUNCTION("""COMPUTED_VALUE"""),"WHA")</f>
        <v>WHA</v>
      </c>
      <c r="B1362" s="59" t="str">
        <f>IFERROR(__xludf.DUMMYFUNCTION("""COMPUTED_VALUE"""),"Peru")</f>
        <v>Peru</v>
      </c>
      <c r="C1362" s="59" t="str">
        <f>IFERROR(__xludf.DUMMYFUNCTION("""COMPUTED_VALUE"""),"U.S. Ambassador to Peru")</f>
        <v>U.S. Ambassador to Peru</v>
      </c>
      <c r="D1362" s="59" t="str">
        <f>IFERROR(__xludf.DUMMYFUNCTION("""COMPUTED_VALUE"""),"X")</f>
        <v>X</v>
      </c>
      <c r="E1362" s="60" t="str">
        <f>IFERROR(__xludf.DUMMYFUNCTION("""COMPUTED_VALUE"""),"https://x.com/USAmbPeru")</f>
        <v>https://x.com/USAmbPeru</v>
      </c>
    </row>
    <row r="1363">
      <c r="A1363" s="59" t="str">
        <f>IFERROR(__xludf.DUMMYFUNCTION("""COMPUTED_VALUE"""),"WHA")</f>
        <v>WHA</v>
      </c>
      <c r="B1363" s="59" t="str">
        <f>IFERROR(__xludf.DUMMYFUNCTION("""COMPUTED_VALUE"""),"Peru")</f>
        <v>Peru</v>
      </c>
      <c r="C1363" s="59" t="str">
        <f>IFERROR(__xludf.DUMMYFUNCTION("""COMPUTED_VALUE"""),"U.S. Embassy Lima")</f>
        <v>U.S. Embassy Lima</v>
      </c>
      <c r="D1363" s="59" t="str">
        <f>IFERROR(__xludf.DUMMYFUNCTION("""COMPUTED_VALUE"""),"Facebook")</f>
        <v>Facebook</v>
      </c>
      <c r="E1363" s="60" t="str">
        <f>IFERROR(__xludf.DUMMYFUNCTION("""COMPUTED_VALUE"""),"https://www.facebook.com/usembassyperu/")</f>
        <v>https://www.facebook.com/usembassyperu/</v>
      </c>
    </row>
    <row r="1364">
      <c r="A1364" s="59" t="str">
        <f>IFERROR(__xludf.DUMMYFUNCTION("""COMPUTED_VALUE"""),"WHA")</f>
        <v>WHA</v>
      </c>
      <c r="B1364" s="59" t="str">
        <f>IFERROR(__xludf.DUMMYFUNCTION("""COMPUTED_VALUE"""),"Peru")</f>
        <v>Peru</v>
      </c>
      <c r="C1364" s="59" t="str">
        <f>IFERROR(__xludf.DUMMYFUNCTION("""COMPUTED_VALUE"""),"U.S. Embassy Lima")</f>
        <v>U.S. Embassy Lima</v>
      </c>
      <c r="D1364" s="59" t="str">
        <f>IFERROR(__xludf.DUMMYFUNCTION("""COMPUTED_VALUE"""),"Instagram")</f>
        <v>Instagram</v>
      </c>
      <c r="E1364" s="60" t="str">
        <f>IFERROR(__xludf.DUMMYFUNCTION("""COMPUTED_VALUE"""),"https://www.instagram.com/usembassyperu")</f>
        <v>https://www.instagram.com/usembassyperu</v>
      </c>
    </row>
    <row r="1365">
      <c r="A1365" s="59" t="str">
        <f>IFERROR(__xludf.DUMMYFUNCTION("""COMPUTED_VALUE"""),"WHA")</f>
        <v>WHA</v>
      </c>
      <c r="B1365" s="59" t="str">
        <f>IFERROR(__xludf.DUMMYFUNCTION("""COMPUTED_VALUE"""),"Peru")</f>
        <v>Peru</v>
      </c>
      <c r="C1365" s="59" t="str">
        <f>IFERROR(__xludf.DUMMYFUNCTION("""COMPUTED_VALUE"""),"U.S. Embassy Lima")</f>
        <v>U.S. Embassy Lima</v>
      </c>
      <c r="D1365" s="59" t="str">
        <f>IFERROR(__xludf.DUMMYFUNCTION("""COMPUTED_VALUE"""),"X")</f>
        <v>X</v>
      </c>
      <c r="E1365" s="60" t="str">
        <f>IFERROR(__xludf.DUMMYFUNCTION("""COMPUTED_VALUE"""),"https://x.com/USEMBASSYPERU")</f>
        <v>https://x.com/USEMBASSYPERU</v>
      </c>
    </row>
    <row r="1366">
      <c r="A1366" s="59" t="str">
        <f>IFERROR(__xludf.DUMMYFUNCTION("""COMPUTED_VALUE"""),"WHA")</f>
        <v>WHA</v>
      </c>
      <c r="B1366" s="59" t="str">
        <f>IFERROR(__xludf.DUMMYFUNCTION("""COMPUTED_VALUE"""),"Peru")</f>
        <v>Peru</v>
      </c>
      <c r="C1366" s="59" t="str">
        <f>IFERROR(__xludf.DUMMYFUNCTION("""COMPUTED_VALUE"""),"U.S. Embassy Lima")</f>
        <v>U.S. Embassy Lima</v>
      </c>
      <c r="D1366" s="59" t="str">
        <f>IFERROR(__xludf.DUMMYFUNCTION("""COMPUTED_VALUE"""),"YouTube")</f>
        <v>YouTube</v>
      </c>
      <c r="E1366" s="60" t="str">
        <f>IFERROR(__xludf.DUMMYFUNCTION("""COMPUTED_VALUE"""),"youtube.com/user/USEMBASSYPERU")</f>
        <v>youtube.com/user/USEMBASSYPERU</v>
      </c>
    </row>
    <row r="1367">
      <c r="A1367" s="59" t="str">
        <f>IFERROR(__xludf.DUMMYFUNCTION("""COMPUTED_VALUE"""),"WHA")</f>
        <v>WHA</v>
      </c>
      <c r="B1367" s="59" t="str">
        <f>IFERROR(__xludf.DUMMYFUNCTION("""COMPUTED_VALUE"""),"Peru")</f>
        <v>Peru</v>
      </c>
      <c r="C1367" s="59" t="str">
        <f>IFERROR(__xludf.DUMMYFUNCTION("""COMPUTED_VALUE"""),"U.S. Embassy Lima")</f>
        <v>U.S. Embassy Lima</v>
      </c>
      <c r="D1367" s="59" t="str">
        <f>IFERROR(__xludf.DUMMYFUNCTION("""COMPUTED_VALUE"""),"Flickr")</f>
        <v>Flickr</v>
      </c>
      <c r="E1367" s="60" t="str">
        <f>IFERROR(__xludf.DUMMYFUNCTION("""COMPUTED_VALUE"""),"https://www.flickr.com/photos/usembassyperu")</f>
        <v>https://www.flickr.com/photos/usembassyperu</v>
      </c>
    </row>
    <row r="1368">
      <c r="A1368" s="59" t="str">
        <f>IFERROR(__xludf.DUMMYFUNCTION("""COMPUTED_VALUE"""),"WHA")</f>
        <v>WHA</v>
      </c>
      <c r="B1368" s="59" t="str">
        <f>IFERROR(__xludf.DUMMYFUNCTION("""COMPUTED_VALUE"""),"Suriname")</f>
        <v>Suriname</v>
      </c>
      <c r="C1368" s="59" t="str">
        <f>IFERROR(__xludf.DUMMYFUNCTION("""COMPUTED_VALUE"""),"U.S. Embassy Paramaribo")</f>
        <v>U.S. Embassy Paramaribo</v>
      </c>
      <c r="D1368" s="59" t="str">
        <f>IFERROR(__xludf.DUMMYFUNCTION("""COMPUTED_VALUE"""),"Facebook")</f>
        <v>Facebook</v>
      </c>
      <c r="E1368" s="60" t="str">
        <f>IFERROR(__xludf.DUMMYFUNCTION("""COMPUTED_VALUE"""),"https://www.facebook.com/Embassy.Paramaribo/")</f>
        <v>https://www.facebook.com/Embassy.Paramaribo/</v>
      </c>
    </row>
    <row r="1369">
      <c r="A1369" s="59" t="str">
        <f>IFERROR(__xludf.DUMMYFUNCTION("""COMPUTED_VALUE"""),"WHA")</f>
        <v>WHA</v>
      </c>
      <c r="B1369" s="59" t="str">
        <f>IFERROR(__xludf.DUMMYFUNCTION("""COMPUTED_VALUE"""),"Suriname")</f>
        <v>Suriname</v>
      </c>
      <c r="C1369" s="59" t="str">
        <f>IFERROR(__xludf.DUMMYFUNCTION("""COMPUTED_VALUE"""),"U.S. Embassy Paramaribo")</f>
        <v>U.S. Embassy Paramaribo</v>
      </c>
      <c r="D1369" s="59" t="str">
        <f>IFERROR(__xludf.DUMMYFUNCTION("""COMPUTED_VALUE"""),"X")</f>
        <v>X</v>
      </c>
      <c r="E1369" s="60" t="str">
        <f>IFERROR(__xludf.DUMMYFUNCTION("""COMPUTED_VALUE"""),"https://x.com/USEmbassyParbo")</f>
        <v>https://x.com/USEmbassyParbo</v>
      </c>
    </row>
    <row r="1370">
      <c r="A1370" s="59" t="str">
        <f>IFERROR(__xludf.DUMMYFUNCTION("""COMPUTED_VALUE"""),"WHA")</f>
        <v>WHA</v>
      </c>
      <c r="B1370" s="59" t="str">
        <f>IFERROR(__xludf.DUMMYFUNCTION("""COMPUTED_VALUE"""),"Suriname")</f>
        <v>Suriname</v>
      </c>
      <c r="C1370" s="59" t="str">
        <f>IFERROR(__xludf.DUMMYFUNCTION("""COMPUTED_VALUE"""),"U.S. Embassy Paramaribo")</f>
        <v>U.S. Embassy Paramaribo</v>
      </c>
      <c r="D1370" s="59" t="str">
        <f>IFERROR(__xludf.DUMMYFUNCTION("""COMPUTED_VALUE"""),"YouTube")</f>
        <v>YouTube</v>
      </c>
      <c r="E1370" s="60" t="str">
        <f>IFERROR(__xludf.DUMMYFUNCTION("""COMPUTED_VALUE"""),"https://www.youtube.com/channel/UCHzESEBzSH9JoYDg_H2fg5g")</f>
        <v>https://www.youtube.com/channel/UCHzESEBzSH9JoYDg_H2fg5g</v>
      </c>
    </row>
    <row r="1371">
      <c r="A1371" s="59" t="str">
        <f>IFERROR(__xludf.DUMMYFUNCTION("""COMPUTED_VALUE"""),"WHA")</f>
        <v>WHA</v>
      </c>
      <c r="B1371" s="59" t="str">
        <f>IFERROR(__xludf.DUMMYFUNCTION("""COMPUTED_VALUE"""),"Suriname")</f>
        <v>Suriname</v>
      </c>
      <c r="C1371" s="59" t="str">
        <f>IFERROR(__xludf.DUMMYFUNCTION("""COMPUTED_VALUE"""),"U.S. Embassy Paramaribo")</f>
        <v>U.S. Embassy Paramaribo</v>
      </c>
      <c r="D1371" s="59" t="str">
        <f>IFERROR(__xludf.DUMMYFUNCTION("""COMPUTED_VALUE"""),"Flickr")</f>
        <v>Flickr</v>
      </c>
      <c r="E1371" s="60" t="str">
        <f>IFERROR(__xludf.DUMMYFUNCTION("""COMPUTED_VALUE"""),"https://flickr.com/photos/usembassyparamaribo/")</f>
        <v>https://flickr.com/photos/usembassyparamaribo/</v>
      </c>
    </row>
    <row r="1372">
      <c r="A1372" s="59" t="str">
        <f>IFERROR(__xludf.DUMMYFUNCTION("""COMPUTED_VALUE"""),"WHA")</f>
        <v>WHA</v>
      </c>
      <c r="B1372" s="59" t="str">
        <f>IFERROR(__xludf.DUMMYFUNCTION("""COMPUTED_VALUE"""),"The Bahamas")</f>
        <v>The Bahamas</v>
      </c>
      <c r="C1372" s="59" t="str">
        <f>IFERROR(__xludf.DUMMYFUNCTION("""COMPUTED_VALUE"""),"U.S. Embassy Nassau")</f>
        <v>U.S. Embassy Nassau</v>
      </c>
      <c r="D1372" s="59" t="str">
        <f>IFERROR(__xludf.DUMMYFUNCTION("""COMPUTED_VALUE"""),"Facebook")</f>
        <v>Facebook</v>
      </c>
      <c r="E1372" s="60" t="str">
        <f>IFERROR(__xludf.DUMMYFUNCTION("""COMPUTED_VALUE"""),"https://www.facebook.com/USEmbassyNassau")</f>
        <v>https://www.facebook.com/USEmbassyNassau</v>
      </c>
    </row>
    <row r="1373">
      <c r="A1373" s="59" t="str">
        <f>IFERROR(__xludf.DUMMYFUNCTION("""COMPUTED_VALUE"""),"WHA")</f>
        <v>WHA</v>
      </c>
      <c r="B1373" s="59" t="str">
        <f>IFERROR(__xludf.DUMMYFUNCTION("""COMPUTED_VALUE"""),"The Bahamas")</f>
        <v>The Bahamas</v>
      </c>
      <c r="C1373" s="59" t="str">
        <f>IFERROR(__xludf.DUMMYFUNCTION("""COMPUTED_VALUE"""),"U.S. Embassy Nassau")</f>
        <v>U.S. Embassy Nassau</v>
      </c>
      <c r="D1373" s="59" t="str">
        <f>IFERROR(__xludf.DUMMYFUNCTION("""COMPUTED_VALUE"""),"Instagram")</f>
        <v>Instagram</v>
      </c>
      <c r="E1373" s="60" t="str">
        <f>IFERROR(__xludf.DUMMYFUNCTION("""COMPUTED_VALUE"""),"https://www.instagram.com/usembassynassau")</f>
        <v>https://www.instagram.com/usembassynassau</v>
      </c>
    </row>
    <row r="1374">
      <c r="A1374" s="59" t="str">
        <f>IFERROR(__xludf.DUMMYFUNCTION("""COMPUTED_VALUE"""),"WHA")</f>
        <v>WHA</v>
      </c>
      <c r="B1374" s="59" t="str">
        <f>IFERROR(__xludf.DUMMYFUNCTION("""COMPUTED_VALUE"""),"The Bahamas")</f>
        <v>The Bahamas</v>
      </c>
      <c r="C1374" s="59" t="str">
        <f>IFERROR(__xludf.DUMMYFUNCTION("""COMPUTED_VALUE"""),"U.S. Embassy Nassau")</f>
        <v>U.S. Embassy Nassau</v>
      </c>
      <c r="D1374" s="59" t="str">
        <f>IFERROR(__xludf.DUMMYFUNCTION("""COMPUTED_VALUE"""),"X")</f>
        <v>X</v>
      </c>
      <c r="E1374" s="60" t="str">
        <f>IFERROR(__xludf.DUMMYFUNCTION("""COMPUTED_VALUE"""),"https://x.com/USEmbassyNassau")</f>
        <v>https://x.com/USEmbassyNassau</v>
      </c>
    </row>
    <row r="1375">
      <c r="A1375" s="59" t="str">
        <f>IFERROR(__xludf.DUMMYFUNCTION("""COMPUTED_VALUE"""),"WHA")</f>
        <v>WHA</v>
      </c>
      <c r="B1375" s="59" t="str">
        <f>IFERROR(__xludf.DUMMYFUNCTION("""COMPUTED_VALUE"""),"The Bahamas")</f>
        <v>The Bahamas</v>
      </c>
      <c r="C1375" s="59" t="str">
        <f>IFERROR(__xludf.DUMMYFUNCTION("""COMPUTED_VALUE"""),"U.S. Embassy Nassau")</f>
        <v>U.S. Embassy Nassau</v>
      </c>
      <c r="D1375" s="59" t="str">
        <f>IFERROR(__xludf.DUMMYFUNCTION("""COMPUTED_VALUE"""),"YouTube")</f>
        <v>YouTube</v>
      </c>
      <c r="E1375" s="60" t="str">
        <f>IFERROR(__xludf.DUMMYFUNCTION("""COMPUTED_VALUE"""),"youtube.com/user/USEmbassyBahamas")</f>
        <v>youtube.com/user/USEmbassyBahamas</v>
      </c>
    </row>
    <row r="1376">
      <c r="A1376" s="59" t="str">
        <f>IFERROR(__xludf.DUMMYFUNCTION("""COMPUTED_VALUE"""),"WHA")</f>
        <v>WHA</v>
      </c>
      <c r="B1376" s="59" t="str">
        <f>IFERROR(__xludf.DUMMYFUNCTION("""COMPUTED_VALUE"""),"Trinidad and Tobago")</f>
        <v>Trinidad and Tobago</v>
      </c>
      <c r="C1376" s="59" t="str">
        <f>IFERROR(__xludf.DUMMYFUNCTION("""COMPUTED_VALUE"""),"U.S. Embassy Port of Spain")</f>
        <v>U.S. Embassy Port of Spain</v>
      </c>
      <c r="D1376" s="59" t="str">
        <f>IFERROR(__xludf.DUMMYFUNCTION("""COMPUTED_VALUE"""),"Facebook")</f>
        <v>Facebook</v>
      </c>
      <c r="E1376" s="60" t="str">
        <f>IFERROR(__xludf.DUMMYFUNCTION("""COMPUTED_VALUE"""),"https://www.facebook.com/ttusa/")</f>
        <v>https://www.facebook.com/ttusa/</v>
      </c>
    </row>
    <row r="1377">
      <c r="A1377" s="59" t="str">
        <f>IFERROR(__xludf.DUMMYFUNCTION("""COMPUTED_VALUE"""),"WHA")</f>
        <v>WHA</v>
      </c>
      <c r="B1377" s="59" t="str">
        <f>IFERROR(__xludf.DUMMYFUNCTION("""COMPUTED_VALUE"""),"Trinidad and Tobago")</f>
        <v>Trinidad and Tobago</v>
      </c>
      <c r="C1377" s="59" t="str">
        <f>IFERROR(__xludf.DUMMYFUNCTION("""COMPUTED_VALUE"""),"U.S. Embassy Port of Spain")</f>
        <v>U.S. Embassy Port of Spain</v>
      </c>
      <c r="D1377" s="59" t="str">
        <f>IFERROR(__xludf.DUMMYFUNCTION("""COMPUTED_VALUE"""),"Instagram")</f>
        <v>Instagram</v>
      </c>
      <c r="E1377" s="60" t="str">
        <f>IFERROR(__xludf.DUMMYFUNCTION("""COMPUTED_VALUE"""),"https://www.instagram.com/usintt")</f>
        <v>https://www.instagram.com/usintt</v>
      </c>
    </row>
    <row r="1378">
      <c r="A1378" s="59" t="str">
        <f>IFERROR(__xludf.DUMMYFUNCTION("""COMPUTED_VALUE"""),"WHA")</f>
        <v>WHA</v>
      </c>
      <c r="B1378" s="59" t="str">
        <f>IFERROR(__xludf.DUMMYFUNCTION("""COMPUTED_VALUE"""),"Trinidad and Tobago")</f>
        <v>Trinidad and Tobago</v>
      </c>
      <c r="C1378" s="59" t="str">
        <f>IFERROR(__xludf.DUMMYFUNCTION("""COMPUTED_VALUE"""),"U.S. Embassy Port of Spain")</f>
        <v>U.S. Embassy Port of Spain</v>
      </c>
      <c r="D1378" s="59" t="str">
        <f>IFERROR(__xludf.DUMMYFUNCTION("""COMPUTED_VALUE"""),"X")</f>
        <v>X</v>
      </c>
      <c r="E1378" s="60" t="str">
        <f>IFERROR(__xludf.DUMMYFUNCTION("""COMPUTED_VALUE"""),"https://x.com/USinTT")</f>
        <v>https://x.com/USinTT</v>
      </c>
    </row>
    <row r="1379">
      <c r="A1379" s="59" t="str">
        <f>IFERROR(__xludf.DUMMYFUNCTION("""COMPUTED_VALUE"""),"WHA")</f>
        <v>WHA</v>
      </c>
      <c r="B1379" s="59" t="str">
        <f>IFERROR(__xludf.DUMMYFUNCTION("""COMPUTED_VALUE"""),"Trinidad and Tobago")</f>
        <v>Trinidad and Tobago</v>
      </c>
      <c r="C1379" s="59" t="str">
        <f>IFERROR(__xludf.DUMMYFUNCTION("""COMPUTED_VALUE"""),"U.S. Embassy Port of Spain")</f>
        <v>U.S. Embassy Port of Spain</v>
      </c>
      <c r="D1379" s="59" t="str">
        <f>IFERROR(__xludf.DUMMYFUNCTION("""COMPUTED_VALUE"""),"YouTube")</f>
        <v>YouTube</v>
      </c>
      <c r="E1379" s="60" t="str">
        <f>IFERROR(__xludf.DUMMYFUNCTION("""COMPUTED_VALUE"""),"youtube.com/user/USEmbassyPOS")</f>
        <v>youtube.com/user/USEmbassyPOS</v>
      </c>
    </row>
    <row r="1380">
      <c r="A1380" s="59" t="str">
        <f>IFERROR(__xludf.DUMMYFUNCTION("""COMPUTED_VALUE"""),"WHA")</f>
        <v>WHA</v>
      </c>
      <c r="B1380" s="59" t="str">
        <f>IFERROR(__xludf.DUMMYFUNCTION("""COMPUTED_VALUE"""),"United States")</f>
        <v>United States</v>
      </c>
      <c r="C1380" s="59" t="str">
        <f>IFERROR(__xludf.DUMMYFUNCTION("""COMPUTED_VALUE"""),"Assistant Secretary of State Bureau of Western Hemisphere Affairs")</f>
        <v>Assistant Secretary of State Bureau of Western Hemisphere Affairs</v>
      </c>
      <c r="D1380" s="59" t="str">
        <f>IFERROR(__xludf.DUMMYFUNCTION("""COMPUTED_VALUE"""),"X")</f>
        <v>X</v>
      </c>
      <c r="E1380" s="60" t="str">
        <f>IFERROR(__xludf.DUMMYFUNCTION("""COMPUTED_VALUE"""),"https://x.com/WHAAsstSecty")</f>
        <v>https://x.com/WHAAsstSecty</v>
      </c>
    </row>
    <row r="1381">
      <c r="A1381" s="59" t="str">
        <f>IFERROR(__xludf.DUMMYFUNCTION("""COMPUTED_VALUE"""),"WHA")</f>
        <v>WHA</v>
      </c>
      <c r="B1381" s="59" t="str">
        <f>IFERROR(__xludf.DUMMYFUNCTION("""COMPUTED_VALUE"""),"United States")</f>
        <v>United States</v>
      </c>
      <c r="C1381" s="59" t="str">
        <f>IFERROR(__xludf.DUMMYFUNCTION("""COMPUTED_VALUE"""),"Bureau of Western Hemisphere Affairs")</f>
        <v>Bureau of Western Hemisphere Affairs</v>
      </c>
      <c r="D1381" s="59" t="str">
        <f>IFERROR(__xludf.DUMMYFUNCTION("""COMPUTED_VALUE"""),"YouTube")</f>
        <v>YouTube</v>
      </c>
      <c r="E1381" s="60" t="str">
        <f>IFERROR(__xludf.DUMMYFUNCTION("""COMPUTED_VALUE"""),"youtube.com/user/whabureau")</f>
        <v>youtube.com/user/whabureau</v>
      </c>
    </row>
    <row r="1382">
      <c r="A1382" s="59" t="str">
        <f>IFERROR(__xludf.DUMMYFUNCTION("""COMPUTED_VALUE"""),"WHA")</f>
        <v>WHA</v>
      </c>
      <c r="B1382" s="59" t="str">
        <f>IFERROR(__xludf.DUMMYFUNCTION("""COMPUTED_VALUE"""),"United States")</f>
        <v>United States</v>
      </c>
      <c r="C1382" s="59" t="str">
        <f>IFERROR(__xludf.DUMMYFUNCTION("""COMPUTED_VALUE"""),"U.S. Permanent Representative to the Organization of American States")</f>
        <v>U.S. Permanent Representative to the Organization of American States</v>
      </c>
      <c r="D1382" s="59" t="str">
        <f>IFERROR(__xludf.DUMMYFUNCTION("""COMPUTED_VALUE"""),"X")</f>
        <v>X</v>
      </c>
      <c r="E1382" s="60" t="str">
        <f>IFERROR(__xludf.DUMMYFUNCTION("""COMPUTED_VALUE"""),"https://x.com/USAmbOAS")</f>
        <v>https://x.com/USAmbOAS</v>
      </c>
    </row>
    <row r="1383">
      <c r="A1383" s="59" t="str">
        <f>IFERROR(__xludf.DUMMYFUNCTION("""COMPUTED_VALUE"""),"WHA")</f>
        <v>WHA</v>
      </c>
      <c r="B1383" s="59" t="str">
        <f>IFERROR(__xludf.DUMMYFUNCTION("""COMPUTED_VALUE"""),"United States")</f>
        <v>United States</v>
      </c>
      <c r="C1383" s="59" t="str">
        <f>IFERROR(__xludf.DUMMYFUNCTION("""COMPUTED_VALUE"""),"Young Leaders of the Americas Initiative")</f>
        <v>Young Leaders of the Americas Initiative</v>
      </c>
      <c r="D1383" s="59" t="str">
        <f>IFERROR(__xludf.DUMMYFUNCTION("""COMPUTED_VALUE"""),"Facebook")</f>
        <v>Facebook</v>
      </c>
      <c r="E1383" s="60" t="str">
        <f>IFERROR(__xludf.DUMMYFUNCTION("""COMPUTED_VALUE"""),"https://www.facebook.com/ylainetwork/")</f>
        <v>https://www.facebook.com/ylainetwork/</v>
      </c>
    </row>
    <row r="1384">
      <c r="A1384" s="59" t="str">
        <f>IFERROR(__xludf.DUMMYFUNCTION("""COMPUTED_VALUE"""),"WHA")</f>
        <v>WHA</v>
      </c>
      <c r="B1384" s="59" t="str">
        <f>IFERROR(__xludf.DUMMYFUNCTION("""COMPUTED_VALUE"""),"United States")</f>
        <v>United States</v>
      </c>
      <c r="C1384" s="59" t="str">
        <f>IFERROR(__xludf.DUMMYFUNCTION("""COMPUTED_VALUE"""),"Young Leaders of the Americas Initiative")</f>
        <v>Young Leaders of the Americas Initiative</v>
      </c>
      <c r="D1384" s="59" t="str">
        <f>IFERROR(__xludf.DUMMYFUNCTION("""COMPUTED_VALUE"""),"LinkedIn")</f>
        <v>LinkedIn</v>
      </c>
      <c r="E1384" s="60" t="str">
        <f>IFERROR(__xludf.DUMMYFUNCTION("""COMPUTED_VALUE"""),"https://www.linkedin.com/company/young-leaders-of-the-americas-initiative/")</f>
        <v>https://www.linkedin.com/company/young-leaders-of-the-americas-initiative/</v>
      </c>
    </row>
    <row r="1385">
      <c r="A1385" s="59" t="str">
        <f>IFERROR(__xludf.DUMMYFUNCTION("""COMPUTED_VALUE"""),"WHA")</f>
        <v>WHA</v>
      </c>
      <c r="B1385" s="59" t="str">
        <f>IFERROR(__xludf.DUMMYFUNCTION("""COMPUTED_VALUE"""),"United States")</f>
        <v>United States</v>
      </c>
      <c r="C1385" s="59" t="str">
        <f>IFERROR(__xludf.DUMMYFUNCTION("""COMPUTED_VALUE"""),"Young Leaders of the Americas Initiative")</f>
        <v>Young Leaders of the Americas Initiative</v>
      </c>
      <c r="D1385" s="59" t="str">
        <f>IFERROR(__xludf.DUMMYFUNCTION("""COMPUTED_VALUE"""),"X")</f>
        <v>X</v>
      </c>
      <c r="E1385" s="60" t="str">
        <f>IFERROR(__xludf.DUMMYFUNCTION("""COMPUTED_VALUE"""),"https://x.com/YLAINetwork")</f>
        <v>https://x.com/YLAINetwork</v>
      </c>
    </row>
    <row r="1386">
      <c r="A1386" s="59" t="str">
        <f>IFERROR(__xludf.DUMMYFUNCTION("""COMPUTED_VALUE"""),"WHA")</f>
        <v>WHA</v>
      </c>
      <c r="B1386" s="59" t="str">
        <f>IFERROR(__xludf.DUMMYFUNCTION("""COMPUTED_VALUE"""),"United States")</f>
        <v>United States</v>
      </c>
      <c r="C1386" s="59" t="str">
        <f>IFERROR(__xludf.DUMMYFUNCTION("""COMPUTED_VALUE"""),"Young Leaders of the Americas Initiative")</f>
        <v>Young Leaders of the Americas Initiative</v>
      </c>
      <c r="D1386" s="59" t="str">
        <f>IFERROR(__xludf.DUMMYFUNCTION("""COMPUTED_VALUE"""),"Instagram")</f>
        <v>Instagram</v>
      </c>
      <c r="E1386" s="60" t="str">
        <f>IFERROR(__xludf.DUMMYFUNCTION("""COMPUTED_VALUE"""),"https://www.instagram.com/ylainetwork/?hl=en")</f>
        <v>https://www.instagram.com/ylainetwork/?hl=en</v>
      </c>
    </row>
    <row r="1387">
      <c r="A1387" s="59" t="str">
        <f>IFERROR(__xludf.DUMMYFUNCTION("""COMPUTED_VALUE"""),"WHA")</f>
        <v>WHA</v>
      </c>
      <c r="B1387" s="59" t="str">
        <f>IFERROR(__xludf.DUMMYFUNCTION("""COMPUTED_VALUE"""),"Uruguay")</f>
        <v>Uruguay</v>
      </c>
      <c r="C1387" s="59" t="str">
        <f>IFERROR(__xludf.DUMMYFUNCTION("""COMPUTED_VALUE"""),"U.S. Ambassador to Uruguay")</f>
        <v>U.S. Ambassador to Uruguay</v>
      </c>
      <c r="D1387" s="59" t="str">
        <f>IFERROR(__xludf.DUMMYFUNCTION("""COMPUTED_VALUE"""),"X")</f>
        <v>X</v>
      </c>
      <c r="E1387" s="60" t="str">
        <f>IFERROR(__xludf.DUMMYFUNCTION("""COMPUTED_VALUE"""),"https://x.com/usamburuguay")</f>
        <v>https://x.com/usamburuguay</v>
      </c>
    </row>
    <row r="1388">
      <c r="A1388" s="59" t="str">
        <f>IFERROR(__xludf.DUMMYFUNCTION("""COMPUTED_VALUE"""),"WHA")</f>
        <v>WHA</v>
      </c>
      <c r="B1388" s="59" t="str">
        <f>IFERROR(__xludf.DUMMYFUNCTION("""COMPUTED_VALUE"""),"Uruguay")</f>
        <v>Uruguay</v>
      </c>
      <c r="C1388" s="59" t="str">
        <f>IFERROR(__xludf.DUMMYFUNCTION("""COMPUTED_VALUE"""),"U.S. Ambassador to Uruguay")</f>
        <v>U.S. Ambassador to Uruguay</v>
      </c>
      <c r="D1388" s="59" t="str">
        <f>IFERROR(__xludf.DUMMYFUNCTION("""COMPUTED_VALUE"""),"Instagram")</f>
        <v>Instagram</v>
      </c>
      <c r="E1388" s="60" t="str">
        <f>IFERROR(__xludf.DUMMYFUNCTION("""COMPUTED_VALUE"""),"https://www.instagram.com/usamburuguay")</f>
        <v>https://www.instagram.com/usamburuguay</v>
      </c>
    </row>
    <row r="1389">
      <c r="A1389" s="59" t="str">
        <f>IFERROR(__xludf.DUMMYFUNCTION("""COMPUTED_VALUE"""),"WHA")</f>
        <v>WHA</v>
      </c>
      <c r="B1389" s="59" t="str">
        <f>IFERROR(__xludf.DUMMYFUNCTION("""COMPUTED_VALUE"""),"Uruguay")</f>
        <v>Uruguay</v>
      </c>
      <c r="C1389" s="59" t="str">
        <f>IFERROR(__xludf.DUMMYFUNCTION("""COMPUTED_VALUE"""),"U.S. Embassy Montevideo")</f>
        <v>U.S. Embassy Montevideo</v>
      </c>
      <c r="D1389" s="59" t="str">
        <f>IFERROR(__xludf.DUMMYFUNCTION("""COMPUTED_VALUE"""),"Facebook")</f>
        <v>Facebook</v>
      </c>
      <c r="E1389" s="60" t="str">
        <f>IFERROR(__xludf.DUMMYFUNCTION("""COMPUTED_VALUE"""),"https://www.facebook.com/US.Embassy.Montevideo/")</f>
        <v>https://www.facebook.com/US.Embassy.Montevideo/</v>
      </c>
    </row>
    <row r="1390">
      <c r="A1390" s="59" t="str">
        <f>IFERROR(__xludf.DUMMYFUNCTION("""COMPUTED_VALUE"""),"WHA")</f>
        <v>WHA</v>
      </c>
      <c r="B1390" s="59" t="str">
        <f>IFERROR(__xludf.DUMMYFUNCTION("""COMPUTED_VALUE"""),"Uruguay")</f>
        <v>Uruguay</v>
      </c>
      <c r="C1390" s="59" t="str">
        <f>IFERROR(__xludf.DUMMYFUNCTION("""COMPUTED_VALUE"""),"U.S. Embassy Montevideo")</f>
        <v>U.S. Embassy Montevideo</v>
      </c>
      <c r="D1390" s="59" t="str">
        <f>IFERROR(__xludf.DUMMYFUNCTION("""COMPUTED_VALUE"""),"Instagram")</f>
        <v>Instagram</v>
      </c>
      <c r="E1390" s="60" t="str">
        <f>IFERROR(__xludf.DUMMYFUNCTION("""COMPUTED_VALUE"""),"https://www.instagram.com/usembassymvd")</f>
        <v>https://www.instagram.com/usembassymvd</v>
      </c>
    </row>
    <row r="1391">
      <c r="A1391" s="59" t="str">
        <f>IFERROR(__xludf.DUMMYFUNCTION("""COMPUTED_VALUE"""),"WHA")</f>
        <v>WHA</v>
      </c>
      <c r="B1391" s="59" t="str">
        <f>IFERROR(__xludf.DUMMYFUNCTION("""COMPUTED_VALUE"""),"Uruguay")</f>
        <v>Uruguay</v>
      </c>
      <c r="C1391" s="59" t="str">
        <f>IFERROR(__xludf.DUMMYFUNCTION("""COMPUTED_VALUE"""),"U.S. Embassy Montevideo")</f>
        <v>U.S. Embassy Montevideo</v>
      </c>
      <c r="D1391" s="59" t="str">
        <f>IFERROR(__xludf.DUMMYFUNCTION("""COMPUTED_VALUE"""),"X")</f>
        <v>X</v>
      </c>
      <c r="E1391" s="60" t="str">
        <f>IFERROR(__xludf.DUMMYFUNCTION("""COMPUTED_VALUE"""),"https://x.com/usembassyMVD")</f>
        <v>https://x.com/usembassyMVD</v>
      </c>
    </row>
    <row r="1392">
      <c r="A1392" s="59" t="str">
        <f>IFERROR(__xludf.DUMMYFUNCTION("""COMPUTED_VALUE"""),"WHA")</f>
        <v>WHA</v>
      </c>
      <c r="B1392" s="59" t="str">
        <f>IFERROR(__xludf.DUMMYFUNCTION("""COMPUTED_VALUE"""),"Uruguay")</f>
        <v>Uruguay</v>
      </c>
      <c r="C1392" s="59" t="str">
        <f>IFERROR(__xludf.DUMMYFUNCTION("""COMPUTED_VALUE"""),"U.S. Embassy Montevideo")</f>
        <v>U.S. Embassy Montevideo</v>
      </c>
      <c r="D1392" s="59" t="str">
        <f>IFERROR(__xludf.DUMMYFUNCTION("""COMPUTED_VALUE"""),"YouTube")</f>
        <v>YouTube</v>
      </c>
      <c r="E1392" s="60" t="str">
        <f>IFERROR(__xludf.DUMMYFUNCTION("""COMPUTED_VALUE"""),"youtube.com/user/usembmvd")</f>
        <v>youtube.com/user/usembmvd</v>
      </c>
    </row>
    <row r="1393">
      <c r="A1393" s="59" t="str">
        <f>IFERROR(__xludf.DUMMYFUNCTION("""COMPUTED_VALUE"""),"WHA")</f>
        <v>WHA</v>
      </c>
      <c r="B1393" s="59" t="str">
        <f>IFERROR(__xludf.DUMMYFUNCTION("""COMPUTED_VALUE"""),"Uruguay")</f>
        <v>Uruguay</v>
      </c>
      <c r="C1393" s="59" t="str">
        <f>IFERROR(__xludf.DUMMYFUNCTION("""COMPUTED_VALUE"""),"U.S. Embassy Montevideo")</f>
        <v>U.S. Embassy Montevideo</v>
      </c>
      <c r="D1393" s="59" t="str">
        <f>IFERROR(__xludf.DUMMYFUNCTION("""COMPUTED_VALUE"""),"Flickr")</f>
        <v>Flickr</v>
      </c>
      <c r="E1393" s="60" t="str">
        <f>IFERROR(__xludf.DUMMYFUNCTION("""COMPUTED_VALUE"""),"https://www.flickr.com/photos/usembassy_montevideo")</f>
        <v>https://www.flickr.com/photos/usembassy_montevideo</v>
      </c>
    </row>
    <row r="1394">
      <c r="A1394" s="59" t="str">
        <f>IFERROR(__xludf.DUMMYFUNCTION("""COMPUTED_VALUE"""),"WHA")</f>
        <v>WHA</v>
      </c>
      <c r="B1394" s="59" t="str">
        <f>IFERROR(__xludf.DUMMYFUNCTION("""COMPUTED_VALUE"""),"Venezuela")</f>
        <v>Venezuela</v>
      </c>
      <c r="C1394" s="59" t="str">
        <f>IFERROR(__xludf.DUMMYFUNCTION("""COMPUTED_VALUE"""),"U.S. Embassy Caracas")</f>
        <v>U.S. Embassy Caracas</v>
      </c>
      <c r="D1394" s="59" t="str">
        <f>IFERROR(__xludf.DUMMYFUNCTION("""COMPUTED_VALUE"""),"Facebook")</f>
        <v>Facebook</v>
      </c>
      <c r="E1394" s="60" t="str">
        <f>IFERROR(__xludf.DUMMYFUNCTION("""COMPUTED_VALUE"""),"https://www.facebook.com/usembassyve")</f>
        <v>https://www.facebook.com/usembassyve</v>
      </c>
    </row>
    <row r="1395">
      <c r="A1395" s="4" t="str">
        <f>IFERROR(__xludf.DUMMYFUNCTION("""COMPUTED_VALUE"""),"WHA")</f>
        <v>WHA</v>
      </c>
      <c r="B1395" s="4" t="str">
        <f>IFERROR(__xludf.DUMMYFUNCTION("""COMPUTED_VALUE"""),"Venezuela")</f>
        <v>Venezuela</v>
      </c>
      <c r="C1395" s="4" t="str">
        <f>IFERROR(__xludf.DUMMYFUNCTION("""COMPUTED_VALUE"""),"U.S. Embassy Caracas")</f>
        <v>U.S. Embassy Caracas</v>
      </c>
      <c r="D1395" s="4" t="str">
        <f>IFERROR(__xludf.DUMMYFUNCTION("""COMPUTED_VALUE"""),"Flickr")</f>
        <v>Flickr</v>
      </c>
      <c r="E1395" s="6" t="str">
        <f>IFERROR(__xludf.DUMMYFUNCTION("""COMPUTED_VALUE"""),"https://www.flickr.com/photos/usembassyve")</f>
        <v>https://www.flickr.com/photos/usembassyve</v>
      </c>
    </row>
    <row r="1396">
      <c r="A1396" s="59" t="str">
        <f>IFERROR(__xludf.DUMMYFUNCTION("""COMPUTED_VALUE"""),"WHA")</f>
        <v>WHA</v>
      </c>
      <c r="B1396" s="59" t="str">
        <f>IFERROR(__xludf.DUMMYFUNCTION("""COMPUTED_VALUE"""),"Venezuela")</f>
        <v>Venezuela</v>
      </c>
      <c r="C1396" s="59" t="str">
        <f>IFERROR(__xludf.DUMMYFUNCTION("""COMPUTED_VALUE"""),"U.S. Embassy Caracas")</f>
        <v>U.S. Embassy Caracas</v>
      </c>
      <c r="D1396" s="59" t="str">
        <f>IFERROR(__xludf.DUMMYFUNCTION("""COMPUTED_VALUE"""),"Instagram")</f>
        <v>Instagram</v>
      </c>
      <c r="E1396" s="60" t="str">
        <f>IFERROR(__xludf.DUMMYFUNCTION("""COMPUTED_VALUE"""),"https://www.instagram.com/usembassyve/")</f>
        <v>https://www.instagram.com/usembassyve/</v>
      </c>
    </row>
    <row r="1397">
      <c r="A1397" s="59" t="str">
        <f>IFERROR(__xludf.DUMMYFUNCTION("""COMPUTED_VALUE"""),"WHA")</f>
        <v>WHA</v>
      </c>
      <c r="B1397" s="59" t="str">
        <f>IFERROR(__xludf.DUMMYFUNCTION("""COMPUTED_VALUE"""),"Venezuela")</f>
        <v>Venezuela</v>
      </c>
      <c r="C1397" s="59" t="str">
        <f>IFERROR(__xludf.DUMMYFUNCTION("""COMPUTED_VALUE"""),"U.S. Embassy Caracas")</f>
        <v>U.S. Embassy Caracas</v>
      </c>
      <c r="D1397" s="59" t="str">
        <f>IFERROR(__xludf.DUMMYFUNCTION("""COMPUTED_VALUE"""),"X")</f>
        <v>X</v>
      </c>
      <c r="E1397" s="60" t="str">
        <f>IFERROR(__xludf.DUMMYFUNCTION("""COMPUTED_VALUE"""),"https://x.com/usembassyve")</f>
        <v>https://x.com/usembassyve</v>
      </c>
    </row>
    <row r="1398">
      <c r="A1398" s="59" t="str">
        <f>IFERROR(__xludf.DUMMYFUNCTION("""COMPUTED_VALUE"""),"WHA")</f>
        <v>WHA</v>
      </c>
      <c r="B1398" s="59" t="str">
        <f>IFERROR(__xludf.DUMMYFUNCTION("""COMPUTED_VALUE"""),"Venezuela")</f>
        <v>Venezuela</v>
      </c>
      <c r="C1398" s="59" t="str">
        <f>IFERROR(__xludf.DUMMYFUNCTION("""COMPUTED_VALUE"""),"U.S. Embassy Caracas")</f>
        <v>U.S. Embassy Caracas</v>
      </c>
      <c r="D1398" s="59" t="str">
        <f>IFERROR(__xludf.DUMMYFUNCTION("""COMPUTED_VALUE"""),"YouTube")</f>
        <v>YouTube</v>
      </c>
      <c r="E1398" s="60" t="str">
        <f>IFERROR(__xludf.DUMMYFUNCTION("""COMPUTED_VALUE"""),"https://www.youtube.com/@USEMBCRS")</f>
        <v>https://www.youtube.com/@USEMBCRS</v>
      </c>
    </row>
    <row r="1399">
      <c r="A1399" s="59" t="str">
        <f>IFERROR(__xludf.DUMMYFUNCTION("""COMPUTED_VALUE"""),"WHA")</f>
        <v>WHA</v>
      </c>
      <c r="B1399" s="59" t="str">
        <f>IFERROR(__xludf.DUMMYFUNCTION("""COMPUTED_VALUE"""),"Venezuela")</f>
        <v>Venezuela</v>
      </c>
      <c r="C1399" s="59" t="str">
        <f>IFERROR(__xludf.DUMMYFUNCTION("""COMPUTED_VALUE"""),"Embajada de los EE.UU., Venezuela")</f>
        <v>Embajada de los EE.UU., Venezuela</v>
      </c>
      <c r="D1399" s="59" t="str">
        <f>IFERROR(__xludf.DUMMYFUNCTION("""COMPUTED_VALUE"""),"WhatsApp")</f>
        <v>WhatsApp</v>
      </c>
      <c r="E1399" s="60" t="str">
        <f>IFERROR(__xludf.DUMMYFUNCTION("""COMPUTED_VALUE"""),"https://whatsapp.com/channel/0029VaGlNLfBPzjRBkfqtA1V")</f>
        <v>https://whatsapp.com/channel/0029VaGlNLfBPzjRBkfqtA1V</v>
      </c>
    </row>
    <row r="1400">
      <c r="A1400" s="59"/>
      <c r="B1400" s="59"/>
      <c r="C1400" s="59"/>
      <c r="D1400" s="59"/>
      <c r="E1400" s="59"/>
    </row>
    <row r="1401">
      <c r="A1401" s="59"/>
      <c r="B1401" s="59"/>
      <c r="C1401" s="59"/>
      <c r="D1401" s="59"/>
      <c r="E1401" s="59"/>
    </row>
    <row r="1402">
      <c r="A1402" s="59"/>
      <c r="B1402" s="59"/>
      <c r="C1402" s="59"/>
      <c r="D1402" s="59"/>
      <c r="E1402" s="59"/>
    </row>
    <row r="1403">
      <c r="A1403" s="59"/>
      <c r="B1403" s="59"/>
      <c r="C1403" s="59"/>
      <c r="D1403" s="59"/>
      <c r="E1403" s="59"/>
    </row>
    <row r="1404">
      <c r="A1404" s="59"/>
      <c r="B1404" s="59"/>
      <c r="C1404" s="59"/>
      <c r="D1404" s="59"/>
      <c r="E1404" s="59"/>
    </row>
    <row r="1405">
      <c r="A1405" s="59"/>
      <c r="B1405" s="59"/>
      <c r="C1405" s="59"/>
      <c r="D1405" s="59"/>
      <c r="E1405" s="59"/>
    </row>
    <row r="1406">
      <c r="A1406" s="59"/>
      <c r="B1406" s="59"/>
      <c r="C1406" s="59"/>
      <c r="D1406" s="59"/>
      <c r="E1406" s="59"/>
    </row>
    <row r="1407">
      <c r="A1407" s="59"/>
      <c r="B1407" s="59"/>
      <c r="C1407" s="59"/>
      <c r="D1407" s="59"/>
      <c r="E1407" s="59"/>
    </row>
    <row r="1408">
      <c r="A1408" s="59"/>
      <c r="B1408" s="59"/>
      <c r="C1408" s="59"/>
      <c r="D1408" s="59"/>
      <c r="E1408" s="59"/>
    </row>
    <row r="1409">
      <c r="A1409" s="59"/>
      <c r="B1409" s="59"/>
      <c r="C1409" s="59"/>
      <c r="D1409" s="59"/>
      <c r="E1409" s="59"/>
    </row>
    <row r="1410">
      <c r="A1410" s="59"/>
      <c r="B1410" s="59"/>
      <c r="C1410" s="59"/>
      <c r="D1410" s="59"/>
      <c r="E1410" s="59"/>
    </row>
    <row r="1411">
      <c r="A1411" s="59"/>
      <c r="B1411" s="59"/>
      <c r="C1411" s="59"/>
      <c r="D1411" s="59"/>
      <c r="E1411" s="59"/>
    </row>
    <row r="1412">
      <c r="A1412" s="59"/>
      <c r="B1412" s="59"/>
      <c r="C1412" s="59"/>
      <c r="D1412" s="59"/>
      <c r="E1412" s="59"/>
    </row>
    <row r="1413">
      <c r="A1413" s="59"/>
      <c r="B1413" s="59"/>
      <c r="C1413" s="59"/>
      <c r="D1413" s="59"/>
      <c r="E1413" s="59"/>
    </row>
    <row r="1414">
      <c r="A1414" s="59"/>
      <c r="B1414" s="59"/>
      <c r="C1414" s="59"/>
      <c r="D1414" s="59"/>
      <c r="E1414" s="59"/>
    </row>
    <row r="1415">
      <c r="A1415" s="59"/>
      <c r="B1415" s="59"/>
      <c r="C1415" s="59"/>
      <c r="D1415" s="59"/>
      <c r="E1415" s="59"/>
    </row>
    <row r="1416">
      <c r="A1416" s="59"/>
      <c r="B1416" s="59"/>
      <c r="C1416" s="59"/>
      <c r="D1416" s="59"/>
      <c r="E1416" s="59"/>
    </row>
    <row r="1417">
      <c r="A1417" s="59"/>
      <c r="B1417" s="59"/>
      <c r="C1417" s="59"/>
      <c r="D1417" s="59"/>
      <c r="E1417" s="59"/>
    </row>
    <row r="1418">
      <c r="A1418" s="59"/>
      <c r="B1418" s="59"/>
      <c r="C1418" s="59"/>
      <c r="D1418" s="59"/>
      <c r="E1418" s="59"/>
    </row>
    <row r="1419">
      <c r="A1419" s="59"/>
      <c r="B1419" s="59"/>
      <c r="C1419" s="59"/>
      <c r="D1419" s="59"/>
      <c r="E1419" s="59"/>
    </row>
    <row r="1420">
      <c r="A1420" s="59"/>
      <c r="B1420" s="59"/>
      <c r="C1420" s="59"/>
      <c r="D1420" s="59"/>
      <c r="E1420" s="59"/>
    </row>
    <row r="1421">
      <c r="A1421" s="59"/>
      <c r="B1421" s="59"/>
      <c r="C1421" s="59"/>
      <c r="D1421" s="59"/>
      <c r="E1421" s="59"/>
    </row>
    <row r="1422">
      <c r="A1422" s="59"/>
      <c r="B1422" s="59"/>
      <c r="C1422" s="59"/>
      <c r="D1422" s="59"/>
      <c r="E1422" s="59"/>
    </row>
    <row r="1423">
      <c r="A1423" s="59"/>
      <c r="B1423" s="59"/>
      <c r="C1423" s="59"/>
      <c r="D1423" s="59"/>
      <c r="E1423" s="59"/>
    </row>
    <row r="1424">
      <c r="A1424" s="59"/>
      <c r="B1424" s="59"/>
      <c r="C1424" s="59"/>
      <c r="D1424" s="59"/>
      <c r="E1424" s="59"/>
    </row>
    <row r="1425">
      <c r="A1425" s="59"/>
      <c r="B1425" s="59"/>
      <c r="C1425" s="59"/>
      <c r="D1425" s="59"/>
      <c r="E1425" s="59"/>
    </row>
    <row r="1426">
      <c r="A1426" s="59"/>
      <c r="B1426" s="59"/>
      <c r="C1426" s="59"/>
      <c r="D1426" s="59"/>
      <c r="E1426" s="59"/>
    </row>
    <row r="1427">
      <c r="A1427" s="59"/>
      <c r="B1427" s="59"/>
      <c r="C1427" s="59"/>
      <c r="D1427" s="59"/>
      <c r="E1427" s="59"/>
    </row>
    <row r="1428">
      <c r="A1428" s="59"/>
      <c r="B1428" s="59"/>
      <c r="C1428" s="59"/>
      <c r="D1428" s="59"/>
      <c r="E1428" s="59"/>
    </row>
    <row r="1429">
      <c r="A1429" s="59"/>
      <c r="B1429" s="59"/>
      <c r="C1429" s="59"/>
      <c r="D1429" s="59"/>
      <c r="E1429" s="59"/>
    </row>
    <row r="1430">
      <c r="A1430" s="59"/>
      <c r="B1430" s="59"/>
      <c r="C1430" s="59"/>
      <c r="D1430" s="59"/>
      <c r="E1430" s="59"/>
    </row>
    <row r="1431">
      <c r="A1431" s="59"/>
      <c r="B1431" s="59"/>
      <c r="C1431" s="59"/>
      <c r="D1431" s="59"/>
      <c r="E1431" s="59"/>
    </row>
    <row r="1432">
      <c r="A1432" s="59"/>
      <c r="B1432" s="59"/>
      <c r="C1432" s="59"/>
      <c r="D1432" s="59"/>
      <c r="E1432" s="59"/>
    </row>
    <row r="1433">
      <c r="A1433" s="59"/>
      <c r="B1433" s="59"/>
      <c r="C1433" s="59"/>
      <c r="D1433" s="59"/>
      <c r="E1433" s="59"/>
    </row>
    <row r="1434">
      <c r="A1434" s="59"/>
      <c r="B1434" s="59"/>
      <c r="C1434" s="59"/>
      <c r="D1434" s="59"/>
      <c r="E1434" s="59"/>
    </row>
    <row r="1435">
      <c r="A1435" s="59"/>
      <c r="B1435" s="59"/>
      <c r="C1435" s="59"/>
      <c r="D1435" s="59"/>
      <c r="E1435" s="59"/>
    </row>
    <row r="1436">
      <c r="A1436" s="59"/>
      <c r="B1436" s="59"/>
      <c r="C1436" s="59"/>
      <c r="D1436" s="59"/>
      <c r="E1436" s="59"/>
    </row>
    <row r="1437">
      <c r="A1437" s="59"/>
      <c r="B1437" s="59"/>
      <c r="C1437" s="59"/>
      <c r="D1437" s="59"/>
      <c r="E1437" s="59"/>
    </row>
    <row r="1438">
      <c r="A1438" s="59"/>
      <c r="B1438" s="59"/>
      <c r="C1438" s="59"/>
      <c r="D1438" s="59"/>
      <c r="E1438" s="59"/>
    </row>
    <row r="1439">
      <c r="A1439" s="59"/>
      <c r="B1439" s="59"/>
      <c r="C1439" s="59"/>
      <c r="D1439" s="59"/>
      <c r="E1439" s="59"/>
    </row>
    <row r="1440">
      <c r="A1440" s="59"/>
      <c r="B1440" s="59"/>
      <c r="C1440" s="59"/>
      <c r="D1440" s="59"/>
      <c r="E1440" s="59"/>
    </row>
    <row r="1441">
      <c r="A1441" s="59"/>
      <c r="B1441" s="59"/>
      <c r="C1441" s="59"/>
      <c r="D1441" s="59"/>
      <c r="E1441" s="59"/>
    </row>
    <row r="1442">
      <c r="A1442" s="59"/>
      <c r="B1442" s="59"/>
      <c r="C1442" s="59"/>
      <c r="D1442" s="59"/>
      <c r="E1442" s="59"/>
    </row>
    <row r="1443">
      <c r="A1443" s="59"/>
      <c r="B1443" s="59"/>
      <c r="C1443" s="59"/>
      <c r="D1443" s="59"/>
      <c r="E1443" s="59"/>
    </row>
    <row r="1444">
      <c r="A1444" s="59"/>
      <c r="B1444" s="59"/>
      <c r="C1444" s="59"/>
      <c r="D1444" s="59"/>
      <c r="E1444" s="59"/>
    </row>
    <row r="1445">
      <c r="A1445" s="59"/>
      <c r="B1445" s="59"/>
      <c r="C1445" s="59"/>
      <c r="D1445" s="59"/>
      <c r="E1445" s="59"/>
    </row>
    <row r="1446">
      <c r="A1446" s="59"/>
      <c r="B1446" s="59"/>
      <c r="C1446" s="59"/>
      <c r="D1446" s="59"/>
      <c r="E1446" s="59"/>
    </row>
    <row r="1447">
      <c r="A1447" s="59"/>
      <c r="B1447" s="59"/>
      <c r="C1447" s="59"/>
      <c r="D1447" s="59"/>
      <c r="E1447" s="59"/>
    </row>
    <row r="1448">
      <c r="A1448" s="59"/>
      <c r="B1448" s="59"/>
      <c r="C1448" s="59"/>
      <c r="D1448" s="59"/>
      <c r="E1448" s="59"/>
    </row>
    <row r="1449">
      <c r="A1449" s="59"/>
      <c r="B1449" s="59"/>
      <c r="C1449" s="59"/>
      <c r="D1449" s="59"/>
      <c r="E1449" s="59"/>
    </row>
    <row r="1450">
      <c r="A1450" s="59"/>
      <c r="B1450" s="59"/>
      <c r="C1450" s="59"/>
      <c r="D1450" s="59"/>
      <c r="E1450" s="59"/>
    </row>
    <row r="1451">
      <c r="A1451" s="59"/>
      <c r="B1451" s="59"/>
      <c r="C1451" s="59"/>
      <c r="D1451" s="59"/>
      <c r="E1451" s="59"/>
    </row>
    <row r="1452">
      <c r="A1452" s="59"/>
      <c r="B1452" s="59"/>
      <c r="C1452" s="59"/>
      <c r="D1452" s="59"/>
      <c r="E1452" s="59"/>
    </row>
    <row r="1453">
      <c r="A1453" s="59"/>
      <c r="B1453" s="59"/>
      <c r="C1453" s="59"/>
      <c r="D1453" s="59"/>
      <c r="E1453" s="59"/>
    </row>
    <row r="1454">
      <c r="A1454" s="59"/>
      <c r="B1454" s="59"/>
      <c r="C1454" s="59"/>
      <c r="D1454" s="59"/>
      <c r="E1454" s="59"/>
    </row>
    <row r="1455">
      <c r="A1455" s="59"/>
      <c r="B1455" s="59"/>
      <c r="C1455" s="59"/>
      <c r="D1455" s="59"/>
      <c r="E1455" s="59"/>
    </row>
    <row r="1456">
      <c r="A1456" s="59"/>
      <c r="B1456" s="59"/>
      <c r="C1456" s="59"/>
      <c r="D1456" s="59"/>
      <c r="E1456" s="59"/>
    </row>
    <row r="1457">
      <c r="A1457" s="59"/>
      <c r="B1457" s="59"/>
      <c r="C1457" s="59"/>
      <c r="D1457" s="59"/>
      <c r="E1457" s="59"/>
    </row>
    <row r="1458">
      <c r="A1458" s="59"/>
      <c r="B1458" s="59"/>
      <c r="C1458" s="59"/>
      <c r="D1458" s="59"/>
      <c r="E1458" s="59"/>
    </row>
    <row r="1459">
      <c r="A1459" s="59"/>
      <c r="B1459" s="59"/>
      <c r="C1459" s="59"/>
      <c r="D1459" s="59"/>
      <c r="E1459" s="59"/>
    </row>
    <row r="1460">
      <c r="A1460" s="59"/>
      <c r="B1460" s="59"/>
      <c r="C1460" s="59"/>
      <c r="D1460" s="59"/>
      <c r="E1460" s="59"/>
    </row>
    <row r="1461">
      <c r="A1461" s="59"/>
      <c r="B1461" s="59"/>
      <c r="C1461" s="59"/>
      <c r="D1461" s="59"/>
      <c r="E1461" s="59"/>
    </row>
    <row r="1462">
      <c r="A1462" s="59"/>
      <c r="B1462" s="59"/>
      <c r="C1462" s="59"/>
      <c r="D1462" s="59"/>
      <c r="E1462" s="59"/>
    </row>
    <row r="1463">
      <c r="A1463" s="59"/>
      <c r="B1463" s="59"/>
      <c r="C1463" s="59"/>
      <c r="D1463" s="59"/>
      <c r="E1463" s="59"/>
    </row>
    <row r="1464">
      <c r="A1464" s="59"/>
      <c r="B1464" s="59"/>
      <c r="C1464" s="59"/>
      <c r="D1464" s="59"/>
      <c r="E1464" s="59"/>
    </row>
    <row r="1465">
      <c r="A1465" s="59"/>
      <c r="B1465" s="59"/>
      <c r="C1465" s="59"/>
      <c r="D1465" s="59"/>
      <c r="E1465" s="59"/>
    </row>
    <row r="1466">
      <c r="A1466" s="59"/>
      <c r="B1466" s="59"/>
      <c r="C1466" s="59"/>
      <c r="D1466" s="59"/>
      <c r="E1466" s="59"/>
    </row>
    <row r="1467">
      <c r="A1467" s="59"/>
      <c r="B1467" s="59"/>
      <c r="C1467" s="59"/>
      <c r="D1467" s="59"/>
      <c r="E1467" s="59"/>
    </row>
    <row r="1468">
      <c r="A1468" s="59"/>
      <c r="B1468" s="59"/>
      <c r="C1468" s="59"/>
      <c r="D1468" s="59"/>
      <c r="E1468" s="59"/>
    </row>
    <row r="1469">
      <c r="A1469" s="59"/>
      <c r="B1469" s="59"/>
      <c r="C1469" s="59"/>
      <c r="D1469" s="59"/>
      <c r="E1469" s="59"/>
    </row>
    <row r="1470">
      <c r="A1470" s="59"/>
      <c r="B1470" s="59"/>
      <c r="C1470" s="59"/>
      <c r="D1470" s="59"/>
      <c r="E1470" s="59"/>
    </row>
    <row r="1471">
      <c r="A1471" s="59"/>
      <c r="B1471" s="59"/>
      <c r="C1471" s="59"/>
      <c r="D1471" s="59"/>
      <c r="E1471" s="59"/>
    </row>
    <row r="1472">
      <c r="A1472" s="59"/>
      <c r="B1472" s="59"/>
      <c r="C1472" s="59"/>
      <c r="D1472" s="59"/>
      <c r="E1472" s="59"/>
    </row>
    <row r="1473">
      <c r="A1473" s="59"/>
      <c r="B1473" s="59"/>
      <c r="C1473" s="59"/>
      <c r="D1473" s="59"/>
      <c r="E1473" s="59"/>
    </row>
    <row r="1474">
      <c r="A1474" s="59"/>
      <c r="B1474" s="59"/>
      <c r="C1474" s="59"/>
      <c r="D1474" s="59"/>
      <c r="E1474" s="59"/>
    </row>
    <row r="1475">
      <c r="A1475" s="59"/>
      <c r="B1475" s="59"/>
      <c r="C1475" s="59"/>
      <c r="D1475" s="59"/>
      <c r="E1475" s="59"/>
    </row>
    <row r="1476">
      <c r="A1476" s="59"/>
      <c r="B1476" s="59"/>
      <c r="C1476" s="59"/>
      <c r="D1476" s="59"/>
      <c r="E1476" s="59"/>
    </row>
    <row r="1477">
      <c r="A1477" s="59"/>
      <c r="B1477" s="59"/>
      <c r="C1477" s="59"/>
      <c r="D1477" s="59"/>
      <c r="E1477" s="59"/>
    </row>
    <row r="1478">
      <c r="A1478" s="59"/>
      <c r="B1478" s="59"/>
      <c r="C1478" s="59"/>
      <c r="D1478" s="59"/>
      <c r="E1478" s="59"/>
    </row>
    <row r="1479">
      <c r="A1479" s="59"/>
      <c r="B1479" s="59"/>
      <c r="C1479" s="59"/>
      <c r="D1479" s="59"/>
      <c r="E1479" s="59"/>
    </row>
    <row r="1480">
      <c r="A1480" s="59"/>
      <c r="B1480" s="59"/>
      <c r="C1480" s="59"/>
      <c r="D1480" s="59"/>
      <c r="E1480" s="59"/>
    </row>
    <row r="1481">
      <c r="A1481" s="59"/>
      <c r="B1481" s="59"/>
      <c r="C1481" s="59"/>
      <c r="D1481" s="59"/>
      <c r="E1481" s="59"/>
    </row>
    <row r="1482">
      <c r="A1482" s="59"/>
      <c r="B1482" s="59"/>
      <c r="C1482" s="59"/>
      <c r="D1482" s="59"/>
      <c r="E1482" s="59"/>
    </row>
    <row r="1483">
      <c r="A1483" s="59"/>
      <c r="B1483" s="59"/>
      <c r="C1483" s="59"/>
      <c r="D1483" s="59"/>
      <c r="E1483" s="59"/>
    </row>
    <row r="1484">
      <c r="A1484" s="59"/>
      <c r="B1484" s="59"/>
      <c r="C1484" s="59"/>
      <c r="D1484" s="59"/>
      <c r="E1484" s="59"/>
    </row>
    <row r="1485">
      <c r="A1485" s="59"/>
      <c r="B1485" s="59"/>
      <c r="C1485" s="59"/>
      <c r="D1485" s="59"/>
      <c r="E1485" s="59"/>
    </row>
    <row r="1486">
      <c r="A1486" s="59"/>
      <c r="B1486" s="59"/>
      <c r="C1486" s="59"/>
      <c r="D1486" s="59"/>
      <c r="E1486" s="59"/>
    </row>
    <row r="1487">
      <c r="A1487" s="59"/>
      <c r="B1487" s="59"/>
      <c r="C1487" s="59"/>
      <c r="D1487" s="59"/>
      <c r="E1487" s="59"/>
    </row>
    <row r="1488">
      <c r="A1488" s="59"/>
      <c r="B1488" s="59"/>
      <c r="C1488" s="59"/>
      <c r="D1488" s="59"/>
      <c r="E1488" s="59"/>
    </row>
    <row r="1489">
      <c r="A1489" s="59"/>
      <c r="B1489" s="59"/>
      <c r="C1489" s="59"/>
      <c r="D1489" s="59"/>
      <c r="E1489" s="59"/>
    </row>
    <row r="1490">
      <c r="A1490" s="59"/>
      <c r="B1490" s="59"/>
      <c r="C1490" s="59"/>
      <c r="D1490" s="59"/>
      <c r="E1490" s="59"/>
    </row>
    <row r="1491">
      <c r="A1491" s="59"/>
      <c r="B1491" s="59"/>
      <c r="C1491" s="59"/>
      <c r="D1491" s="59"/>
      <c r="E1491" s="59"/>
    </row>
    <row r="1492">
      <c r="A1492" s="59"/>
      <c r="B1492" s="59"/>
      <c r="C1492" s="59"/>
      <c r="D1492" s="59"/>
      <c r="E1492" s="59"/>
    </row>
    <row r="1493">
      <c r="A1493" s="59"/>
      <c r="B1493" s="59"/>
      <c r="C1493" s="59"/>
      <c r="D1493" s="59"/>
      <c r="E1493" s="59"/>
    </row>
    <row r="1494">
      <c r="A1494" s="59"/>
      <c r="B1494" s="59"/>
      <c r="C1494" s="59"/>
      <c r="D1494" s="59"/>
      <c r="E1494" s="59"/>
    </row>
    <row r="1495">
      <c r="A1495" s="59"/>
      <c r="B1495" s="59"/>
      <c r="C1495" s="59"/>
      <c r="D1495" s="59"/>
      <c r="E1495" s="59"/>
    </row>
    <row r="1496">
      <c r="A1496" s="59"/>
      <c r="B1496" s="59"/>
      <c r="C1496" s="59"/>
      <c r="D1496" s="59"/>
      <c r="E1496" s="59"/>
    </row>
    <row r="1497">
      <c r="A1497" s="59"/>
      <c r="B1497" s="59"/>
      <c r="C1497" s="59"/>
      <c r="D1497" s="59"/>
      <c r="E1497" s="59"/>
    </row>
    <row r="1498">
      <c r="A1498" s="59"/>
      <c r="B1498" s="59"/>
      <c r="C1498" s="59"/>
      <c r="D1498" s="59"/>
      <c r="E1498" s="59"/>
    </row>
    <row r="1499">
      <c r="A1499" s="59"/>
      <c r="B1499" s="59"/>
      <c r="C1499" s="59"/>
      <c r="D1499" s="59"/>
      <c r="E1499" s="59"/>
    </row>
    <row r="1500">
      <c r="A1500" s="59"/>
      <c r="B1500" s="59"/>
      <c r="C1500" s="59"/>
      <c r="D1500" s="59"/>
      <c r="E1500" s="59"/>
    </row>
    <row r="1501">
      <c r="A1501" s="59"/>
      <c r="B1501" s="59"/>
      <c r="C1501" s="59"/>
      <c r="D1501" s="59"/>
      <c r="E1501" s="59"/>
    </row>
    <row r="1502">
      <c r="A1502" s="59"/>
      <c r="B1502" s="59"/>
      <c r="C1502" s="59"/>
      <c r="D1502" s="59"/>
      <c r="E1502" s="59"/>
    </row>
    <row r="1503">
      <c r="A1503" s="59"/>
      <c r="B1503" s="59"/>
      <c r="C1503" s="59"/>
      <c r="D1503" s="59"/>
      <c r="E1503" s="59"/>
    </row>
    <row r="1504">
      <c r="A1504" s="59"/>
      <c r="B1504" s="59"/>
      <c r="C1504" s="59"/>
      <c r="D1504" s="59"/>
      <c r="E1504" s="59"/>
    </row>
    <row r="1505">
      <c r="A1505" s="59"/>
      <c r="B1505" s="59"/>
      <c r="C1505" s="59"/>
      <c r="D1505" s="59"/>
      <c r="E1505" s="59"/>
    </row>
    <row r="1506">
      <c r="A1506" s="59"/>
      <c r="B1506" s="59"/>
      <c r="C1506" s="59"/>
      <c r="D1506" s="59"/>
      <c r="E1506" s="59"/>
    </row>
    <row r="1507">
      <c r="A1507" s="59"/>
      <c r="B1507" s="59"/>
      <c r="C1507" s="59"/>
      <c r="D1507" s="59"/>
      <c r="E1507" s="59"/>
    </row>
    <row r="1508">
      <c r="A1508" s="59"/>
      <c r="B1508" s="59"/>
      <c r="C1508" s="59"/>
      <c r="D1508" s="59"/>
      <c r="E1508" s="59"/>
    </row>
    <row r="1509">
      <c r="A1509" s="59"/>
      <c r="B1509" s="59"/>
      <c r="C1509" s="59"/>
      <c r="D1509" s="59"/>
      <c r="E1509" s="59"/>
    </row>
    <row r="1510">
      <c r="A1510" s="59"/>
      <c r="B1510" s="59"/>
      <c r="C1510" s="59"/>
      <c r="D1510" s="59"/>
      <c r="E1510" s="59"/>
    </row>
    <row r="1511">
      <c r="A1511" s="59"/>
      <c r="B1511" s="59"/>
      <c r="C1511" s="59"/>
      <c r="D1511" s="59"/>
      <c r="E1511" s="59"/>
    </row>
    <row r="1512">
      <c r="A1512" s="59"/>
      <c r="B1512" s="59"/>
      <c r="C1512" s="59"/>
      <c r="D1512" s="59"/>
      <c r="E1512" s="59"/>
    </row>
    <row r="1513">
      <c r="A1513" s="59"/>
      <c r="B1513" s="59"/>
      <c r="C1513" s="59"/>
      <c r="D1513" s="59"/>
      <c r="E1513" s="59"/>
    </row>
    <row r="1514">
      <c r="A1514" s="59"/>
      <c r="B1514" s="59"/>
      <c r="C1514" s="59"/>
      <c r="D1514" s="59"/>
      <c r="E1514" s="59"/>
    </row>
    <row r="1515">
      <c r="A1515" s="59"/>
      <c r="B1515" s="59"/>
      <c r="C1515" s="59"/>
      <c r="D1515" s="59"/>
      <c r="E1515" s="59"/>
    </row>
    <row r="1516">
      <c r="A1516" s="59"/>
      <c r="B1516" s="59"/>
      <c r="C1516" s="59"/>
      <c r="D1516" s="59"/>
      <c r="E1516" s="59"/>
    </row>
    <row r="1517">
      <c r="A1517" s="59"/>
      <c r="B1517" s="59"/>
      <c r="C1517" s="59"/>
      <c r="D1517" s="59"/>
      <c r="E1517" s="59"/>
    </row>
    <row r="1518">
      <c r="A1518" s="59"/>
      <c r="B1518" s="59"/>
      <c r="C1518" s="59"/>
      <c r="D1518" s="59"/>
      <c r="E1518" s="59"/>
    </row>
    <row r="1519">
      <c r="A1519" s="59"/>
      <c r="B1519" s="59"/>
      <c r="C1519" s="59"/>
      <c r="D1519" s="59"/>
      <c r="E1519" s="59"/>
    </row>
    <row r="1520">
      <c r="A1520" s="59"/>
      <c r="B1520" s="59"/>
      <c r="C1520" s="59"/>
      <c r="D1520" s="59"/>
      <c r="E1520" s="59"/>
    </row>
    <row r="1521">
      <c r="A1521" s="59"/>
      <c r="B1521" s="59"/>
      <c r="C1521" s="59"/>
      <c r="D1521" s="59"/>
      <c r="E1521" s="59"/>
    </row>
    <row r="1522">
      <c r="A1522" s="59"/>
      <c r="B1522" s="59"/>
      <c r="C1522" s="59"/>
      <c r="D1522" s="59"/>
      <c r="E1522" s="59"/>
    </row>
    <row r="1523">
      <c r="A1523" s="59"/>
      <c r="B1523" s="59"/>
      <c r="C1523" s="59"/>
      <c r="D1523" s="59"/>
      <c r="E1523" s="59"/>
    </row>
    <row r="1524">
      <c r="A1524" s="59"/>
      <c r="B1524" s="59"/>
      <c r="C1524" s="59"/>
      <c r="D1524" s="59"/>
      <c r="E1524" s="59"/>
    </row>
    <row r="1525">
      <c r="A1525" s="59"/>
      <c r="B1525" s="59"/>
      <c r="C1525" s="59"/>
      <c r="D1525" s="59"/>
      <c r="E1525" s="59"/>
    </row>
    <row r="1526">
      <c r="A1526" s="59"/>
      <c r="B1526" s="59"/>
      <c r="C1526" s="59"/>
      <c r="D1526" s="59"/>
      <c r="E1526" s="59"/>
    </row>
    <row r="1527">
      <c r="A1527" s="59"/>
      <c r="B1527" s="59"/>
      <c r="C1527" s="59"/>
      <c r="D1527" s="59"/>
      <c r="E1527" s="59"/>
    </row>
    <row r="1528">
      <c r="A1528" s="59"/>
      <c r="B1528" s="59"/>
      <c r="C1528" s="59"/>
      <c r="D1528" s="59"/>
      <c r="E1528" s="59"/>
    </row>
    <row r="1529">
      <c r="A1529" s="59"/>
      <c r="B1529" s="59"/>
      <c r="C1529" s="59"/>
      <c r="D1529" s="59"/>
      <c r="E1529" s="59"/>
    </row>
    <row r="1530">
      <c r="A1530" s="59"/>
      <c r="B1530" s="59"/>
      <c r="C1530" s="59"/>
      <c r="D1530" s="59"/>
      <c r="E1530" s="59"/>
    </row>
    <row r="1531">
      <c r="A1531" s="59"/>
      <c r="B1531" s="59"/>
      <c r="C1531" s="59"/>
      <c r="D1531" s="59"/>
      <c r="E1531" s="59"/>
    </row>
    <row r="1532">
      <c r="A1532" s="59"/>
      <c r="B1532" s="59"/>
      <c r="C1532" s="59"/>
      <c r="D1532" s="59"/>
      <c r="E1532" s="59"/>
    </row>
    <row r="1533">
      <c r="A1533" s="59"/>
      <c r="B1533" s="59"/>
      <c r="C1533" s="59"/>
      <c r="D1533" s="59"/>
      <c r="E1533" s="59"/>
    </row>
    <row r="1534">
      <c r="A1534" s="59"/>
      <c r="B1534" s="59"/>
      <c r="C1534" s="59"/>
      <c r="D1534" s="59"/>
      <c r="E1534" s="59"/>
    </row>
    <row r="1535">
      <c r="A1535" s="59"/>
      <c r="B1535" s="59"/>
      <c r="C1535" s="59"/>
      <c r="D1535" s="59"/>
      <c r="E1535" s="59"/>
    </row>
    <row r="1536">
      <c r="A1536" s="59"/>
      <c r="B1536" s="59"/>
      <c r="C1536" s="59"/>
      <c r="D1536" s="59"/>
      <c r="E1536" s="59"/>
    </row>
    <row r="1537">
      <c r="A1537" s="59"/>
      <c r="B1537" s="59"/>
      <c r="C1537" s="59"/>
      <c r="D1537" s="59"/>
      <c r="E1537" s="59"/>
    </row>
    <row r="1538">
      <c r="A1538" s="59"/>
      <c r="B1538" s="59"/>
      <c r="C1538" s="59"/>
      <c r="D1538" s="59"/>
      <c r="E1538" s="59"/>
    </row>
    <row r="1539">
      <c r="A1539" s="59"/>
      <c r="B1539" s="59"/>
      <c r="C1539" s="59"/>
      <c r="D1539" s="59"/>
      <c r="E1539" s="59"/>
    </row>
    <row r="1540">
      <c r="A1540" s="59"/>
      <c r="B1540" s="59"/>
      <c r="C1540" s="59"/>
      <c r="D1540" s="59"/>
      <c r="E1540" s="59"/>
    </row>
    <row r="1541">
      <c r="A1541" s="59"/>
      <c r="B1541" s="59"/>
      <c r="C1541" s="59"/>
      <c r="D1541" s="59"/>
      <c r="E1541" s="59"/>
    </row>
    <row r="1542">
      <c r="A1542" s="59"/>
      <c r="B1542" s="59"/>
      <c r="C1542" s="59"/>
      <c r="D1542" s="59"/>
      <c r="E1542" s="59"/>
    </row>
    <row r="1543">
      <c r="A1543" s="59"/>
      <c r="B1543" s="59"/>
      <c r="C1543" s="59"/>
      <c r="D1543" s="59"/>
      <c r="E1543" s="59"/>
    </row>
    <row r="1544">
      <c r="A1544" s="59"/>
      <c r="B1544" s="59"/>
      <c r="C1544" s="59"/>
      <c r="D1544" s="59"/>
      <c r="E1544" s="59"/>
    </row>
    <row r="1545">
      <c r="A1545" s="59"/>
      <c r="B1545" s="59"/>
      <c r="C1545" s="59"/>
      <c r="D1545" s="59"/>
      <c r="E1545" s="59"/>
    </row>
    <row r="1546">
      <c r="A1546" s="59"/>
      <c r="B1546" s="59"/>
      <c r="C1546" s="59"/>
      <c r="D1546" s="59"/>
      <c r="E1546" s="59"/>
    </row>
    <row r="1547">
      <c r="A1547" s="59"/>
      <c r="B1547" s="59"/>
      <c r="C1547" s="59"/>
      <c r="D1547" s="59"/>
      <c r="E1547" s="59"/>
    </row>
    <row r="1548">
      <c r="A1548" s="59"/>
      <c r="B1548" s="59"/>
      <c r="C1548" s="59"/>
      <c r="D1548" s="59"/>
      <c r="E1548" s="59"/>
    </row>
    <row r="1549">
      <c r="A1549" s="59"/>
      <c r="B1549" s="59"/>
      <c r="C1549" s="59"/>
      <c r="D1549" s="59"/>
      <c r="E1549" s="59"/>
    </row>
    <row r="1550">
      <c r="A1550" s="59"/>
      <c r="B1550" s="59"/>
      <c r="C1550" s="59"/>
      <c r="D1550" s="59"/>
      <c r="E1550" s="59"/>
    </row>
    <row r="1551">
      <c r="A1551" s="59"/>
      <c r="B1551" s="59"/>
      <c r="C1551" s="59"/>
      <c r="D1551" s="59"/>
      <c r="E1551" s="59"/>
    </row>
    <row r="1552">
      <c r="A1552" s="59"/>
      <c r="B1552" s="59"/>
      <c r="C1552" s="59"/>
      <c r="D1552" s="59"/>
      <c r="E1552" s="59"/>
    </row>
    <row r="1553">
      <c r="A1553" s="59"/>
      <c r="B1553" s="59"/>
      <c r="C1553" s="59"/>
      <c r="D1553" s="59"/>
      <c r="E1553" s="59"/>
    </row>
    <row r="1554">
      <c r="A1554" s="59"/>
      <c r="B1554" s="59"/>
      <c r="C1554" s="59"/>
      <c r="D1554" s="59"/>
      <c r="E1554" s="59"/>
    </row>
    <row r="1555">
      <c r="A1555" s="59"/>
      <c r="B1555" s="59"/>
      <c r="C1555" s="59"/>
      <c r="D1555" s="59"/>
      <c r="E1555" s="59"/>
    </row>
    <row r="1556">
      <c r="A1556" s="59"/>
      <c r="B1556" s="59"/>
      <c r="C1556" s="59"/>
      <c r="D1556" s="59"/>
      <c r="E1556" s="59"/>
    </row>
    <row r="1557">
      <c r="A1557" s="59"/>
      <c r="B1557" s="59"/>
      <c r="C1557" s="59"/>
      <c r="D1557" s="59"/>
      <c r="E1557" s="59"/>
    </row>
    <row r="1558">
      <c r="A1558" s="59"/>
      <c r="B1558" s="59"/>
      <c r="C1558" s="59"/>
      <c r="D1558" s="59"/>
      <c r="E1558" s="59"/>
    </row>
    <row r="1559">
      <c r="A1559" s="59"/>
      <c r="B1559" s="59"/>
      <c r="C1559" s="59"/>
      <c r="D1559" s="59"/>
      <c r="E1559" s="59"/>
    </row>
    <row r="1560">
      <c r="A1560" s="59"/>
      <c r="B1560" s="59"/>
      <c r="C1560" s="59"/>
      <c r="D1560" s="59"/>
      <c r="E1560" s="59"/>
    </row>
    <row r="1561">
      <c r="A1561" s="59"/>
      <c r="B1561" s="59"/>
      <c r="C1561" s="59"/>
      <c r="D1561" s="59"/>
      <c r="E1561" s="59"/>
    </row>
    <row r="1562">
      <c r="A1562" s="59"/>
      <c r="B1562" s="59"/>
      <c r="C1562" s="59"/>
      <c r="D1562" s="59"/>
      <c r="E1562" s="59"/>
    </row>
    <row r="1563">
      <c r="A1563" s="59"/>
      <c r="B1563" s="59"/>
      <c r="C1563" s="59"/>
      <c r="D1563" s="59"/>
      <c r="E1563" s="59"/>
    </row>
    <row r="1564">
      <c r="A1564" s="59"/>
      <c r="B1564" s="59"/>
      <c r="C1564" s="59"/>
      <c r="D1564" s="59"/>
      <c r="E1564" s="59"/>
    </row>
    <row r="1565">
      <c r="A1565" s="59"/>
      <c r="B1565" s="59"/>
      <c r="C1565" s="59"/>
      <c r="D1565" s="59"/>
      <c r="E1565" s="59"/>
    </row>
    <row r="1566">
      <c r="A1566" s="59"/>
      <c r="B1566" s="59"/>
      <c r="C1566" s="59"/>
      <c r="D1566" s="59"/>
      <c r="E1566" s="59"/>
    </row>
    <row r="1567">
      <c r="A1567" s="59"/>
      <c r="B1567" s="59"/>
      <c r="C1567" s="59"/>
      <c r="D1567" s="59"/>
      <c r="E1567" s="59"/>
    </row>
    <row r="1568">
      <c r="A1568" s="59"/>
      <c r="B1568" s="59"/>
      <c r="C1568" s="59"/>
      <c r="D1568" s="59"/>
      <c r="E1568" s="59"/>
    </row>
    <row r="1569">
      <c r="A1569" s="59"/>
      <c r="B1569" s="59"/>
      <c r="C1569" s="59"/>
      <c r="D1569" s="59"/>
      <c r="E1569" s="59"/>
    </row>
    <row r="1570">
      <c r="A1570" s="59"/>
      <c r="B1570" s="59"/>
      <c r="C1570" s="59"/>
      <c r="D1570" s="59"/>
      <c r="E1570" s="59"/>
    </row>
    <row r="1571">
      <c r="A1571" s="59"/>
      <c r="B1571" s="59"/>
      <c r="C1571" s="59"/>
      <c r="D1571" s="59"/>
      <c r="E1571" s="59"/>
    </row>
    <row r="1572">
      <c r="A1572" s="59"/>
      <c r="B1572" s="59"/>
      <c r="C1572" s="59"/>
      <c r="D1572" s="59"/>
      <c r="E1572" s="59"/>
    </row>
    <row r="1573">
      <c r="A1573" s="59"/>
      <c r="B1573" s="59"/>
      <c r="C1573" s="59"/>
      <c r="D1573" s="59"/>
      <c r="E1573" s="59"/>
    </row>
    <row r="1574">
      <c r="A1574" s="59"/>
      <c r="B1574" s="59"/>
      <c r="C1574" s="59"/>
      <c r="D1574" s="59"/>
      <c r="E1574" s="59"/>
    </row>
    <row r="1575">
      <c r="A1575" s="59"/>
      <c r="B1575" s="59"/>
      <c r="C1575" s="59"/>
      <c r="D1575" s="59"/>
      <c r="E1575" s="59"/>
    </row>
    <row r="1576">
      <c r="A1576" s="59"/>
      <c r="B1576" s="59"/>
      <c r="C1576" s="59"/>
      <c r="D1576" s="59"/>
      <c r="E1576" s="59"/>
    </row>
    <row r="1577">
      <c r="A1577" s="59"/>
      <c r="B1577" s="59"/>
      <c r="C1577" s="59"/>
      <c r="D1577" s="59"/>
      <c r="E1577" s="59"/>
    </row>
    <row r="1578">
      <c r="A1578" s="59"/>
      <c r="B1578" s="59"/>
      <c r="C1578" s="59"/>
      <c r="D1578" s="59"/>
      <c r="E1578" s="59"/>
    </row>
    <row r="1579">
      <c r="A1579" s="59"/>
      <c r="B1579" s="59"/>
      <c r="C1579" s="59"/>
      <c r="D1579" s="59"/>
      <c r="E1579" s="59"/>
    </row>
    <row r="1580">
      <c r="A1580" s="59"/>
      <c r="B1580" s="59"/>
      <c r="C1580" s="59"/>
      <c r="D1580" s="59"/>
      <c r="E1580" s="59"/>
    </row>
    <row r="1581">
      <c r="A1581" s="59"/>
      <c r="B1581" s="59"/>
      <c r="C1581" s="59"/>
      <c r="D1581" s="59"/>
      <c r="E1581" s="59"/>
    </row>
    <row r="1582">
      <c r="A1582" s="59"/>
      <c r="B1582" s="59"/>
      <c r="C1582" s="59"/>
      <c r="D1582" s="59"/>
      <c r="E1582" s="59"/>
    </row>
    <row r="1583">
      <c r="A1583" s="59"/>
      <c r="B1583" s="59"/>
      <c r="C1583" s="59"/>
      <c r="D1583" s="59"/>
      <c r="E1583" s="59"/>
    </row>
    <row r="1584">
      <c r="A1584" s="59"/>
      <c r="B1584" s="59"/>
      <c r="C1584" s="59"/>
      <c r="D1584" s="59"/>
      <c r="E1584" s="59"/>
    </row>
    <row r="1585">
      <c r="A1585" s="59"/>
      <c r="B1585" s="59"/>
      <c r="C1585" s="59"/>
      <c r="D1585" s="59"/>
      <c r="E1585" s="59"/>
    </row>
    <row r="1586">
      <c r="A1586" s="59"/>
      <c r="B1586" s="59"/>
      <c r="C1586" s="59"/>
      <c r="D1586" s="59"/>
      <c r="E1586" s="59"/>
    </row>
    <row r="1587">
      <c r="A1587" s="59"/>
      <c r="B1587" s="59"/>
      <c r="C1587" s="59"/>
      <c r="D1587" s="59"/>
      <c r="E1587" s="59"/>
    </row>
    <row r="1588">
      <c r="A1588" s="59"/>
      <c r="B1588" s="59"/>
      <c r="C1588" s="59"/>
      <c r="D1588" s="59"/>
      <c r="E1588" s="59"/>
    </row>
    <row r="1589">
      <c r="A1589" s="59"/>
      <c r="B1589" s="59"/>
      <c r="C1589" s="59"/>
      <c r="D1589" s="59"/>
      <c r="E1589" s="59"/>
    </row>
    <row r="1590">
      <c r="A1590" s="59"/>
      <c r="B1590" s="59"/>
      <c r="C1590" s="59"/>
      <c r="D1590" s="59"/>
      <c r="E1590" s="59"/>
    </row>
    <row r="1591">
      <c r="A1591" s="59"/>
      <c r="B1591" s="59"/>
      <c r="C1591" s="59"/>
      <c r="D1591" s="59"/>
      <c r="E1591" s="59"/>
    </row>
    <row r="1592">
      <c r="A1592" s="59"/>
      <c r="B1592" s="59"/>
      <c r="C1592" s="59"/>
      <c r="D1592" s="59"/>
      <c r="E1592" s="59"/>
    </row>
    <row r="1593">
      <c r="A1593" s="59"/>
      <c r="B1593" s="59"/>
      <c r="C1593" s="59"/>
      <c r="D1593" s="59"/>
      <c r="E1593" s="59"/>
    </row>
    <row r="1594">
      <c r="A1594" s="59"/>
      <c r="B1594" s="59"/>
      <c r="C1594" s="59"/>
      <c r="D1594" s="59"/>
      <c r="E1594" s="59"/>
    </row>
    <row r="1595">
      <c r="A1595" s="59"/>
      <c r="B1595" s="59"/>
      <c r="C1595" s="59"/>
      <c r="D1595" s="59"/>
      <c r="E1595" s="59"/>
    </row>
    <row r="1596">
      <c r="A1596" s="59"/>
      <c r="B1596" s="59"/>
      <c r="C1596" s="59"/>
      <c r="D1596" s="59"/>
      <c r="E1596" s="59"/>
    </row>
    <row r="1597">
      <c r="A1597" s="59"/>
      <c r="B1597" s="59"/>
      <c r="C1597" s="59"/>
      <c r="D1597" s="59"/>
      <c r="E1597" s="59"/>
    </row>
    <row r="1598">
      <c r="A1598" s="59"/>
      <c r="B1598" s="59"/>
      <c r="C1598" s="59"/>
      <c r="D1598" s="59"/>
      <c r="E1598" s="59"/>
    </row>
    <row r="1599">
      <c r="A1599" s="59"/>
      <c r="B1599" s="59"/>
      <c r="C1599" s="59"/>
      <c r="D1599" s="59"/>
      <c r="E1599" s="59"/>
    </row>
    <row r="1600">
      <c r="A1600" s="59"/>
      <c r="B1600" s="59"/>
      <c r="C1600" s="59"/>
      <c r="D1600" s="59"/>
      <c r="E1600" s="59"/>
    </row>
    <row r="1601">
      <c r="A1601" s="59"/>
      <c r="B1601" s="59"/>
      <c r="C1601" s="59"/>
      <c r="D1601" s="59"/>
      <c r="E1601" s="59"/>
    </row>
    <row r="1602">
      <c r="A1602" s="59"/>
      <c r="B1602" s="59"/>
      <c r="C1602" s="59"/>
      <c r="D1602" s="59"/>
      <c r="E1602" s="59"/>
    </row>
    <row r="1603">
      <c r="A1603" s="59"/>
      <c r="B1603" s="59"/>
      <c r="C1603" s="59"/>
      <c r="D1603" s="59"/>
      <c r="E1603" s="59"/>
    </row>
    <row r="1604">
      <c r="A1604" s="59"/>
      <c r="B1604" s="59"/>
      <c r="C1604" s="59"/>
      <c r="D1604" s="59"/>
      <c r="E1604" s="59"/>
    </row>
    <row r="1605">
      <c r="A1605" s="59"/>
      <c r="B1605" s="59"/>
      <c r="C1605" s="59"/>
      <c r="D1605" s="59"/>
      <c r="E1605" s="59"/>
    </row>
    <row r="1606">
      <c r="A1606" s="59"/>
      <c r="B1606" s="59"/>
      <c r="C1606" s="59"/>
      <c r="D1606" s="59"/>
      <c r="E1606" s="59"/>
    </row>
    <row r="1607">
      <c r="A1607" s="59"/>
      <c r="B1607" s="59"/>
      <c r="C1607" s="59"/>
      <c r="D1607" s="59"/>
      <c r="E1607" s="59"/>
    </row>
    <row r="1608">
      <c r="A1608" s="59"/>
      <c r="B1608" s="59"/>
      <c r="C1608" s="59"/>
      <c r="D1608" s="59"/>
      <c r="E1608" s="59"/>
    </row>
    <row r="1609">
      <c r="A1609" s="59"/>
      <c r="B1609" s="59"/>
      <c r="C1609" s="59"/>
      <c r="D1609" s="59"/>
      <c r="E1609" s="59"/>
    </row>
    <row r="1610">
      <c r="A1610" s="59"/>
      <c r="B1610" s="59"/>
      <c r="C1610" s="59"/>
      <c r="D1610" s="59"/>
      <c r="E1610" s="59"/>
    </row>
    <row r="1611">
      <c r="A1611" s="59"/>
      <c r="B1611" s="59"/>
      <c r="C1611" s="59"/>
      <c r="D1611" s="59"/>
      <c r="E1611" s="59"/>
    </row>
    <row r="1612">
      <c r="A1612" s="59"/>
      <c r="B1612" s="59"/>
      <c r="C1612" s="59"/>
      <c r="D1612" s="59"/>
      <c r="E1612" s="59"/>
    </row>
    <row r="1613">
      <c r="A1613" s="59"/>
      <c r="B1613" s="59"/>
      <c r="C1613" s="59"/>
      <c r="D1613" s="59"/>
      <c r="E1613" s="59"/>
    </row>
    <row r="1614">
      <c r="A1614" s="59"/>
      <c r="B1614" s="59"/>
      <c r="C1614" s="59"/>
      <c r="D1614" s="59"/>
      <c r="E1614" s="59"/>
    </row>
    <row r="1615">
      <c r="A1615" s="59"/>
      <c r="B1615" s="59"/>
      <c r="C1615" s="59"/>
      <c r="D1615" s="59"/>
      <c r="E1615" s="59"/>
    </row>
    <row r="1616">
      <c r="A1616" s="59"/>
      <c r="B1616" s="59"/>
      <c r="C1616" s="59"/>
      <c r="D1616" s="59"/>
      <c r="E1616" s="59"/>
    </row>
    <row r="1617">
      <c r="A1617" s="59"/>
      <c r="B1617" s="59"/>
      <c r="C1617" s="59"/>
      <c r="D1617" s="59"/>
      <c r="E1617" s="59"/>
    </row>
    <row r="1618">
      <c r="A1618" s="59"/>
      <c r="B1618" s="59"/>
      <c r="C1618" s="59"/>
      <c r="D1618" s="59"/>
      <c r="E1618" s="59"/>
    </row>
    <row r="1619">
      <c r="A1619" s="59"/>
      <c r="B1619" s="59"/>
      <c r="C1619" s="59"/>
      <c r="D1619" s="59"/>
      <c r="E1619" s="59"/>
    </row>
    <row r="1620">
      <c r="A1620" s="59"/>
      <c r="B1620" s="59"/>
      <c r="C1620" s="59"/>
      <c r="D1620" s="59"/>
      <c r="E1620" s="59"/>
    </row>
    <row r="1621">
      <c r="A1621" s="59"/>
      <c r="B1621" s="59"/>
      <c r="C1621" s="59"/>
      <c r="D1621" s="59"/>
      <c r="E1621" s="59"/>
    </row>
    <row r="1622">
      <c r="A1622" s="59"/>
      <c r="B1622" s="59"/>
      <c r="C1622" s="59"/>
      <c r="D1622" s="59"/>
      <c r="E1622" s="59"/>
    </row>
    <row r="1623">
      <c r="A1623" s="59"/>
      <c r="B1623" s="59"/>
      <c r="C1623" s="59"/>
      <c r="D1623" s="59"/>
      <c r="E1623" s="59"/>
    </row>
    <row r="1624">
      <c r="A1624" s="4"/>
      <c r="B1624" s="4"/>
      <c r="C1624" s="4"/>
      <c r="D1624" s="4"/>
      <c r="E1624" s="6"/>
    </row>
    <row r="1625">
      <c r="A1625" s="59"/>
      <c r="B1625" s="59"/>
      <c r="C1625" s="59"/>
      <c r="D1625" s="59"/>
      <c r="E1625" s="59"/>
    </row>
    <row r="1626">
      <c r="A1626" s="59"/>
      <c r="B1626" s="59"/>
      <c r="C1626" s="59"/>
      <c r="D1626" s="59"/>
      <c r="E1626" s="59"/>
    </row>
    <row r="1627">
      <c r="A1627" s="4"/>
      <c r="B1627" s="4"/>
      <c r="C1627" s="4"/>
      <c r="D1627" s="4"/>
      <c r="E1627" s="6"/>
    </row>
    <row r="1628">
      <c r="A1628" s="4"/>
      <c r="B1628" s="4"/>
      <c r="C1628" s="4"/>
      <c r="D1628" s="4"/>
      <c r="E1628" s="6"/>
    </row>
    <row r="1629">
      <c r="A1629" s="4"/>
      <c r="B1629" s="4"/>
      <c r="C1629" s="4"/>
      <c r="D1629" s="4"/>
      <c r="E1629" s="6"/>
    </row>
    <row r="1630">
      <c r="A1630" s="4"/>
      <c r="B1630" s="4"/>
      <c r="C1630" s="4"/>
      <c r="D1630" s="4"/>
      <c r="E1630" s="6"/>
    </row>
    <row r="1631">
      <c r="A1631" s="4"/>
      <c r="B1631" s="4"/>
      <c r="C1631" s="17"/>
      <c r="D1631" s="4"/>
      <c r="E1631" s="6"/>
    </row>
    <row r="1632">
      <c r="A1632" s="4"/>
      <c r="B1632" s="4"/>
      <c r="C1632" s="4"/>
      <c r="D1632" s="4"/>
      <c r="E1632" s="48"/>
    </row>
    <row r="1633">
      <c r="A1633" s="59"/>
      <c r="B1633" s="59"/>
      <c r="C1633" s="59"/>
      <c r="D1633" s="59"/>
      <c r="E1633" s="59"/>
    </row>
    <row r="1634">
      <c r="A1634" s="59"/>
      <c r="B1634" s="59"/>
      <c r="C1634" s="59"/>
      <c r="D1634" s="59"/>
      <c r="E1634" s="59"/>
    </row>
    <row r="1635">
      <c r="A1635" s="59"/>
      <c r="B1635" s="59"/>
      <c r="C1635" s="59"/>
      <c r="D1635" s="59"/>
      <c r="E1635" s="59"/>
    </row>
    <row r="1636">
      <c r="A1636" s="4"/>
      <c r="B1636" s="4"/>
      <c r="C1636" s="4"/>
      <c r="D1636" s="4"/>
      <c r="E1636" s="6"/>
    </row>
    <row r="1637">
      <c r="A1637" s="4"/>
      <c r="B1637" s="4"/>
      <c r="C1637" s="4"/>
      <c r="D1637" s="4"/>
      <c r="E1637" s="6"/>
    </row>
    <row r="1638">
      <c r="A1638" s="4"/>
      <c r="B1638" s="4"/>
      <c r="C1638" s="4"/>
      <c r="D1638" s="4"/>
      <c r="E1638" s="6"/>
    </row>
    <row r="1639">
      <c r="A1639" s="4"/>
      <c r="B1639" s="4"/>
      <c r="C1639" s="4"/>
      <c r="D1639" s="4"/>
      <c r="E1639" s="6"/>
    </row>
    <row r="1640">
      <c r="A1640" s="59"/>
      <c r="B1640" s="59"/>
      <c r="C1640" s="59"/>
      <c r="D1640" s="59"/>
      <c r="E1640" s="59"/>
    </row>
    <row r="1641">
      <c r="A1641" s="59"/>
      <c r="B1641" s="59"/>
      <c r="C1641" s="59"/>
      <c r="D1641" s="59"/>
      <c r="E1641" s="59"/>
    </row>
    <row r="1642">
      <c r="A1642" s="59"/>
      <c r="B1642" s="59"/>
      <c r="C1642" s="59"/>
      <c r="D1642" s="59"/>
      <c r="E1642" s="59"/>
    </row>
    <row r="1643">
      <c r="A1643" s="59"/>
      <c r="B1643" s="59"/>
      <c r="C1643" s="59"/>
      <c r="D1643" s="59"/>
      <c r="E1643" s="59"/>
    </row>
    <row r="1644">
      <c r="A1644" s="59"/>
      <c r="B1644" s="59"/>
      <c r="C1644" s="59"/>
      <c r="D1644" s="59"/>
      <c r="E1644" s="59"/>
    </row>
    <row r="1645">
      <c r="A1645" s="59"/>
      <c r="B1645" s="59"/>
      <c r="C1645" s="59"/>
      <c r="D1645" s="59"/>
      <c r="E1645" s="59"/>
    </row>
    <row r="1646">
      <c r="A1646" s="59"/>
      <c r="B1646" s="59"/>
      <c r="C1646" s="59"/>
      <c r="D1646" s="59"/>
      <c r="E1646" s="59"/>
    </row>
    <row r="1647">
      <c r="A1647" s="59"/>
      <c r="B1647" s="59"/>
      <c r="C1647" s="59"/>
      <c r="D1647" s="59"/>
      <c r="E1647" s="59"/>
    </row>
    <row r="1648">
      <c r="A1648" s="59"/>
      <c r="B1648" s="59"/>
      <c r="C1648" s="59"/>
      <c r="D1648" s="59"/>
      <c r="E1648" s="59"/>
    </row>
    <row r="1649">
      <c r="A1649" s="59"/>
      <c r="B1649" s="59"/>
      <c r="C1649" s="59"/>
      <c r="D1649" s="59"/>
      <c r="E1649" s="59"/>
    </row>
    <row r="1650">
      <c r="A1650" s="59"/>
      <c r="B1650" s="59"/>
      <c r="C1650" s="59"/>
      <c r="D1650" s="59"/>
      <c r="E1650" s="59"/>
    </row>
    <row r="1651">
      <c r="A1651" s="59"/>
      <c r="B1651" s="59"/>
      <c r="C1651" s="59"/>
      <c r="D1651" s="59"/>
      <c r="E1651" s="59"/>
    </row>
    <row r="1652">
      <c r="A1652" s="4"/>
      <c r="B1652" s="4"/>
      <c r="C1652" s="4"/>
      <c r="D1652" s="4"/>
      <c r="E1652" s="6"/>
    </row>
    <row r="1653">
      <c r="A1653" s="4"/>
      <c r="B1653" s="4"/>
      <c r="C1653" s="4"/>
      <c r="D1653" s="4"/>
      <c r="E1653" s="6"/>
    </row>
    <row r="1654">
      <c r="A1654" s="4"/>
      <c r="B1654" s="4"/>
      <c r="C1654" s="4"/>
      <c r="D1654" s="4"/>
      <c r="E1654" s="6"/>
    </row>
    <row r="1655">
      <c r="A1655" s="4"/>
      <c r="B1655" s="4"/>
      <c r="C1655" s="4"/>
      <c r="D1655" s="4"/>
      <c r="E1655" s="6"/>
    </row>
    <row r="1656">
      <c r="A1656" s="4"/>
      <c r="B1656" s="4"/>
      <c r="C1656" s="4"/>
      <c r="D1656" s="4"/>
      <c r="E1656" s="6"/>
    </row>
    <row r="1657">
      <c r="A1657" s="4"/>
      <c r="B1657" s="4"/>
      <c r="C1657" s="4"/>
      <c r="D1657" s="4"/>
      <c r="E1657" s="6"/>
    </row>
    <row r="1658">
      <c r="A1658" s="4"/>
      <c r="B1658" s="4"/>
      <c r="C1658" s="4"/>
      <c r="D1658" s="4"/>
      <c r="E1658" s="6"/>
    </row>
    <row r="1659">
      <c r="A1659" s="4"/>
      <c r="B1659" s="4"/>
      <c r="C1659" s="4"/>
      <c r="D1659" s="4"/>
      <c r="E1659" s="6"/>
    </row>
    <row r="1660">
      <c r="A1660" s="4"/>
      <c r="B1660" s="4"/>
      <c r="C1660" s="4"/>
      <c r="D1660" s="4"/>
      <c r="E1660" s="6"/>
    </row>
    <row r="1661">
      <c r="A1661" s="4"/>
      <c r="B1661" s="4"/>
      <c r="C1661" s="4"/>
      <c r="D1661" s="4"/>
      <c r="E1661" s="6"/>
    </row>
    <row r="1662">
      <c r="A1662" s="59"/>
      <c r="B1662" s="59"/>
      <c r="C1662" s="59"/>
      <c r="D1662" s="59"/>
      <c r="E1662" s="59"/>
    </row>
    <row r="1663">
      <c r="A1663" s="59"/>
      <c r="B1663" s="59"/>
      <c r="C1663" s="59"/>
      <c r="D1663" s="59"/>
      <c r="E1663" s="59"/>
    </row>
    <row r="1664">
      <c r="A1664" s="59"/>
      <c r="B1664" s="59"/>
      <c r="C1664" s="59"/>
      <c r="D1664" s="59"/>
      <c r="E1664" s="59"/>
    </row>
    <row r="1665">
      <c r="A1665" s="59"/>
      <c r="B1665" s="59"/>
      <c r="C1665" s="59"/>
      <c r="D1665" s="59"/>
      <c r="E1665" s="59"/>
    </row>
    <row r="1666">
      <c r="A1666" s="59"/>
      <c r="B1666" s="59"/>
      <c r="C1666" s="59"/>
      <c r="D1666" s="59"/>
      <c r="E1666" s="59"/>
    </row>
    <row r="1667">
      <c r="A1667" s="59"/>
      <c r="B1667" s="59"/>
      <c r="C1667" s="59"/>
      <c r="D1667" s="59"/>
      <c r="E1667" s="59"/>
    </row>
    <row r="1668">
      <c r="A1668" s="59"/>
      <c r="B1668" s="59"/>
      <c r="C1668" s="59"/>
      <c r="D1668" s="59"/>
      <c r="E1668" s="59"/>
    </row>
    <row r="1669">
      <c r="A1669" s="59"/>
      <c r="B1669" s="59"/>
      <c r="C1669" s="59"/>
      <c r="D1669" s="59"/>
      <c r="E1669" s="59"/>
    </row>
    <row r="1670">
      <c r="A1670" s="59"/>
      <c r="B1670" s="59"/>
      <c r="C1670" s="59"/>
      <c r="D1670" s="59"/>
      <c r="E1670" s="59"/>
    </row>
    <row r="1671">
      <c r="A1671" s="59"/>
      <c r="B1671" s="59"/>
      <c r="C1671" s="59"/>
      <c r="D1671" s="59"/>
      <c r="E1671" s="59"/>
    </row>
    <row r="1672">
      <c r="A1672" s="59"/>
      <c r="B1672" s="59"/>
      <c r="C1672" s="59"/>
      <c r="D1672" s="59"/>
      <c r="E1672" s="59"/>
    </row>
    <row r="1673">
      <c r="A1673" s="59"/>
      <c r="B1673" s="59"/>
      <c r="C1673" s="59"/>
      <c r="D1673" s="59"/>
      <c r="E1673" s="59"/>
    </row>
    <row r="1674">
      <c r="A1674" s="59"/>
      <c r="B1674" s="59"/>
      <c r="C1674" s="59"/>
      <c r="D1674" s="59"/>
      <c r="E1674" s="59"/>
    </row>
    <row r="1675">
      <c r="A1675" s="59"/>
      <c r="B1675" s="59"/>
      <c r="C1675" s="59"/>
      <c r="D1675" s="59"/>
      <c r="E1675" s="59"/>
    </row>
    <row r="1676">
      <c r="A1676" s="59"/>
      <c r="B1676" s="59"/>
      <c r="C1676" s="59"/>
      <c r="D1676" s="59"/>
      <c r="E1676" s="59"/>
    </row>
    <row r="1677">
      <c r="A1677" s="59"/>
      <c r="B1677" s="59"/>
      <c r="C1677" s="59"/>
      <c r="D1677" s="59"/>
      <c r="E1677" s="59"/>
    </row>
    <row r="1678">
      <c r="A1678" s="59"/>
      <c r="B1678" s="59"/>
      <c r="C1678" s="59"/>
      <c r="D1678" s="59"/>
      <c r="E1678" s="59"/>
    </row>
    <row r="1679">
      <c r="A1679" s="59"/>
      <c r="B1679" s="59"/>
      <c r="C1679" s="59"/>
      <c r="D1679" s="59"/>
      <c r="E1679" s="59"/>
    </row>
    <row r="1680">
      <c r="A1680" s="59"/>
      <c r="B1680" s="59"/>
      <c r="C1680" s="59"/>
      <c r="D1680" s="59"/>
      <c r="E1680" s="59"/>
    </row>
    <row r="1681">
      <c r="A1681" s="59"/>
      <c r="B1681" s="59"/>
      <c r="C1681" s="59"/>
      <c r="D1681" s="59"/>
      <c r="E1681" s="59"/>
    </row>
    <row r="1682">
      <c r="A1682" s="4"/>
      <c r="B1682" s="4"/>
      <c r="C1682" s="4"/>
      <c r="D1682" s="4"/>
      <c r="E1682" s="6"/>
    </row>
    <row r="1683">
      <c r="A1683" s="59"/>
      <c r="B1683" s="59"/>
      <c r="C1683" s="59"/>
      <c r="D1683" s="59"/>
      <c r="E1683" s="59"/>
    </row>
    <row r="1684">
      <c r="A1684" s="59"/>
      <c r="B1684" s="59"/>
      <c r="C1684" s="59"/>
      <c r="D1684" s="59"/>
      <c r="E1684" s="59"/>
    </row>
    <row r="1685">
      <c r="A1685" s="59"/>
      <c r="B1685" s="59"/>
      <c r="C1685" s="59"/>
      <c r="D1685" s="59"/>
      <c r="E1685" s="59"/>
    </row>
    <row r="1686">
      <c r="A1686" s="59"/>
      <c r="B1686" s="59"/>
      <c r="C1686" s="59"/>
      <c r="D1686" s="59"/>
      <c r="E1686" s="59"/>
    </row>
    <row r="1687">
      <c r="A1687" s="59"/>
      <c r="B1687" s="59"/>
      <c r="C1687" s="59"/>
      <c r="D1687" s="59"/>
      <c r="E1687" s="59"/>
    </row>
    <row r="1688">
      <c r="A1688" s="59"/>
      <c r="B1688" s="59"/>
      <c r="C1688" s="59"/>
      <c r="D1688" s="59"/>
      <c r="E1688" s="59"/>
    </row>
    <row r="1689">
      <c r="A1689" s="59"/>
      <c r="B1689" s="59"/>
      <c r="C1689" s="59"/>
      <c r="D1689" s="59"/>
      <c r="E1689" s="59"/>
    </row>
    <row r="1690">
      <c r="A1690" s="59"/>
      <c r="B1690" s="59"/>
      <c r="C1690" s="59"/>
      <c r="D1690" s="59"/>
      <c r="E1690" s="59"/>
    </row>
    <row r="1691">
      <c r="A1691" s="59"/>
      <c r="B1691" s="59"/>
      <c r="C1691" s="59"/>
      <c r="D1691" s="59"/>
      <c r="E1691" s="59"/>
    </row>
    <row r="1692">
      <c r="A1692" s="59"/>
      <c r="B1692" s="59"/>
      <c r="C1692" s="59"/>
      <c r="D1692" s="59"/>
      <c r="E1692" s="59"/>
    </row>
    <row r="1693">
      <c r="A1693" s="59"/>
      <c r="B1693" s="59"/>
      <c r="C1693" s="59"/>
      <c r="D1693" s="59"/>
      <c r="E1693" s="59"/>
    </row>
    <row r="1694">
      <c r="A1694" s="59"/>
      <c r="B1694" s="59"/>
      <c r="C1694" s="59"/>
      <c r="D1694" s="59"/>
      <c r="E1694" s="59"/>
    </row>
    <row r="1695">
      <c r="A1695" s="59"/>
      <c r="B1695" s="59"/>
      <c r="C1695" s="59"/>
      <c r="D1695" s="59"/>
      <c r="E1695" s="59"/>
    </row>
    <row r="1696">
      <c r="A1696" s="59"/>
      <c r="B1696" s="59"/>
      <c r="C1696" s="59"/>
      <c r="D1696" s="59"/>
      <c r="E1696" s="59"/>
    </row>
    <row r="1697">
      <c r="A1697" s="59"/>
      <c r="B1697" s="59"/>
      <c r="C1697" s="59"/>
      <c r="D1697" s="59"/>
      <c r="E1697" s="59"/>
    </row>
    <row r="1698">
      <c r="A1698" s="59"/>
      <c r="B1698" s="59"/>
      <c r="C1698" s="59"/>
      <c r="D1698" s="59"/>
      <c r="E1698" s="59"/>
    </row>
    <row r="1699">
      <c r="A1699" s="59"/>
      <c r="B1699" s="59"/>
      <c r="C1699" s="59"/>
      <c r="D1699" s="59"/>
      <c r="E1699" s="59"/>
    </row>
    <row r="1700">
      <c r="A1700" s="59"/>
      <c r="B1700" s="59"/>
      <c r="C1700" s="59"/>
      <c r="D1700" s="59"/>
      <c r="E1700" s="59"/>
    </row>
    <row r="1701">
      <c r="A1701" s="59"/>
      <c r="B1701" s="59"/>
      <c r="C1701" s="59"/>
      <c r="D1701" s="59"/>
      <c r="E1701" s="59"/>
    </row>
    <row r="1702">
      <c r="A1702" s="59"/>
      <c r="B1702" s="59"/>
      <c r="C1702" s="59"/>
      <c r="D1702" s="59"/>
      <c r="E1702" s="59"/>
    </row>
    <row r="1703">
      <c r="A1703" s="59"/>
      <c r="B1703" s="59"/>
      <c r="C1703" s="59"/>
      <c r="D1703" s="59"/>
      <c r="E1703" s="59"/>
    </row>
    <row r="1704">
      <c r="A1704" s="59"/>
      <c r="B1704" s="59"/>
      <c r="C1704" s="59"/>
      <c r="D1704" s="59"/>
      <c r="E1704" s="59"/>
    </row>
    <row r="1705">
      <c r="A1705" s="59"/>
      <c r="B1705" s="59"/>
      <c r="C1705" s="59"/>
      <c r="D1705" s="59"/>
      <c r="E1705" s="59"/>
    </row>
    <row r="1706">
      <c r="A1706" s="59"/>
      <c r="B1706" s="59"/>
      <c r="C1706" s="59"/>
      <c r="D1706" s="59"/>
      <c r="E1706" s="59"/>
    </row>
    <row r="1707">
      <c r="A1707" s="59"/>
      <c r="B1707" s="59"/>
      <c r="C1707" s="59"/>
      <c r="D1707" s="59"/>
      <c r="E1707" s="59"/>
    </row>
    <row r="1708">
      <c r="A1708" s="59"/>
      <c r="B1708" s="59"/>
      <c r="C1708" s="59"/>
      <c r="D1708" s="59"/>
      <c r="E1708" s="59"/>
    </row>
    <row r="1709">
      <c r="A1709" s="59"/>
      <c r="B1709" s="59"/>
      <c r="C1709" s="59"/>
      <c r="D1709" s="59"/>
      <c r="E1709" s="59"/>
    </row>
    <row r="1710">
      <c r="A1710" s="59"/>
      <c r="B1710" s="59"/>
      <c r="C1710" s="59"/>
      <c r="D1710" s="59"/>
      <c r="E1710" s="59"/>
    </row>
    <row r="1711">
      <c r="A1711" s="59"/>
      <c r="B1711" s="59"/>
      <c r="C1711" s="59"/>
      <c r="D1711" s="59"/>
      <c r="E1711" s="59"/>
    </row>
    <row r="1712">
      <c r="A1712" s="59"/>
      <c r="B1712" s="59"/>
      <c r="C1712" s="59"/>
      <c r="D1712" s="59"/>
      <c r="E1712" s="59"/>
    </row>
    <row r="1713">
      <c r="A1713" s="59"/>
      <c r="B1713" s="59"/>
      <c r="C1713" s="59"/>
      <c r="D1713" s="59"/>
      <c r="E1713" s="59"/>
    </row>
    <row r="1714">
      <c r="A1714" s="59"/>
      <c r="B1714" s="59"/>
      <c r="C1714" s="59"/>
      <c r="D1714" s="59"/>
      <c r="E1714" s="59"/>
    </row>
    <row r="1715">
      <c r="A1715" s="59"/>
      <c r="B1715" s="59"/>
      <c r="C1715" s="59"/>
      <c r="D1715" s="59"/>
      <c r="E1715" s="59"/>
    </row>
    <row r="1716">
      <c r="A1716" s="59"/>
      <c r="B1716" s="59"/>
      <c r="C1716" s="59"/>
      <c r="D1716" s="59"/>
      <c r="E1716" s="59"/>
    </row>
    <row r="1717">
      <c r="A1717" s="59"/>
      <c r="B1717" s="59"/>
      <c r="C1717" s="59"/>
      <c r="D1717" s="59"/>
      <c r="E1717" s="59"/>
    </row>
    <row r="1718">
      <c r="A1718" s="59"/>
      <c r="B1718" s="59"/>
      <c r="C1718" s="59"/>
      <c r="D1718" s="59"/>
      <c r="E1718" s="59"/>
    </row>
    <row r="1719">
      <c r="A1719" s="59"/>
      <c r="B1719" s="59"/>
      <c r="C1719" s="59"/>
      <c r="D1719" s="59"/>
      <c r="E1719" s="59"/>
    </row>
    <row r="1720">
      <c r="A1720" s="59"/>
      <c r="B1720" s="59"/>
      <c r="C1720" s="59"/>
      <c r="D1720" s="59"/>
      <c r="E1720" s="59"/>
    </row>
    <row r="1721">
      <c r="A1721" s="59"/>
      <c r="B1721" s="59"/>
      <c r="C1721" s="59"/>
      <c r="D1721" s="59"/>
      <c r="E1721" s="59"/>
    </row>
    <row r="1722">
      <c r="A1722" s="59"/>
      <c r="B1722" s="59"/>
      <c r="C1722" s="59"/>
      <c r="D1722" s="59"/>
      <c r="E1722" s="59"/>
    </row>
    <row r="1723">
      <c r="A1723" s="59"/>
      <c r="B1723" s="59"/>
      <c r="C1723" s="59"/>
      <c r="D1723" s="59"/>
      <c r="E1723" s="59"/>
    </row>
    <row r="1724">
      <c r="A1724" s="59"/>
      <c r="B1724" s="59"/>
      <c r="C1724" s="59"/>
      <c r="D1724" s="59"/>
      <c r="E1724" s="59"/>
    </row>
    <row r="1725">
      <c r="A1725" s="59"/>
      <c r="B1725" s="59"/>
      <c r="C1725" s="59"/>
      <c r="D1725" s="59"/>
      <c r="E1725" s="59"/>
    </row>
    <row r="1726">
      <c r="A1726" s="59"/>
      <c r="B1726" s="59"/>
      <c r="C1726" s="59"/>
      <c r="D1726" s="59"/>
      <c r="E1726" s="59"/>
    </row>
    <row r="1727">
      <c r="A1727" s="59"/>
      <c r="B1727" s="59"/>
      <c r="C1727" s="59"/>
      <c r="D1727" s="59"/>
      <c r="E1727" s="59"/>
    </row>
    <row r="1728">
      <c r="A1728" s="59"/>
      <c r="B1728" s="59"/>
      <c r="C1728" s="59"/>
      <c r="D1728" s="59"/>
      <c r="E1728" s="59"/>
    </row>
    <row r="1729">
      <c r="A1729" s="59"/>
      <c r="B1729" s="59"/>
      <c r="C1729" s="59"/>
      <c r="D1729" s="59"/>
      <c r="E1729" s="59"/>
    </row>
    <row r="1730">
      <c r="A1730" s="59"/>
      <c r="B1730" s="59"/>
      <c r="C1730" s="59"/>
      <c r="D1730" s="59"/>
      <c r="E1730" s="59"/>
    </row>
    <row r="1731">
      <c r="A1731" s="59"/>
      <c r="B1731" s="59"/>
      <c r="C1731" s="59"/>
      <c r="D1731" s="59"/>
      <c r="E1731" s="59"/>
    </row>
    <row r="1732">
      <c r="A1732" s="59"/>
      <c r="B1732" s="59"/>
      <c r="C1732" s="59"/>
      <c r="D1732" s="59"/>
      <c r="E1732" s="59"/>
    </row>
    <row r="1733">
      <c r="A1733" s="59"/>
      <c r="B1733" s="59"/>
      <c r="C1733" s="59"/>
      <c r="D1733" s="59"/>
      <c r="E1733" s="59"/>
    </row>
    <row r="1734">
      <c r="A1734" s="59"/>
      <c r="B1734" s="59"/>
      <c r="C1734" s="59"/>
      <c r="D1734" s="59"/>
      <c r="E1734" s="59"/>
    </row>
    <row r="1735">
      <c r="A1735" s="59"/>
      <c r="B1735" s="59"/>
      <c r="C1735" s="59"/>
      <c r="D1735" s="59"/>
      <c r="E1735" s="59"/>
    </row>
    <row r="1736">
      <c r="A1736" s="59"/>
      <c r="B1736" s="59"/>
      <c r="C1736" s="59"/>
      <c r="D1736" s="59"/>
      <c r="E1736" s="59"/>
    </row>
    <row r="1737">
      <c r="A1737" s="59"/>
      <c r="B1737" s="59"/>
      <c r="C1737" s="59"/>
      <c r="D1737" s="59"/>
      <c r="E1737" s="59"/>
    </row>
    <row r="1738">
      <c r="A1738" s="59"/>
      <c r="B1738" s="59"/>
      <c r="C1738" s="59"/>
      <c r="D1738" s="59"/>
      <c r="E1738" s="59"/>
    </row>
    <row r="1739">
      <c r="A1739" s="59"/>
      <c r="B1739" s="59"/>
      <c r="C1739" s="59"/>
      <c r="D1739" s="59"/>
      <c r="E1739" s="59"/>
    </row>
    <row r="1740">
      <c r="A1740" s="59"/>
      <c r="B1740" s="59"/>
      <c r="C1740" s="59"/>
      <c r="D1740" s="59"/>
      <c r="E1740" s="59"/>
    </row>
    <row r="1741">
      <c r="A1741" s="59"/>
      <c r="B1741" s="59"/>
      <c r="C1741" s="59"/>
      <c r="D1741" s="59"/>
      <c r="E1741" s="59"/>
    </row>
    <row r="1742">
      <c r="A1742" s="59"/>
      <c r="B1742" s="59"/>
      <c r="C1742" s="59"/>
      <c r="D1742" s="59"/>
      <c r="E1742" s="59"/>
    </row>
    <row r="1743">
      <c r="A1743" s="59"/>
      <c r="B1743" s="59"/>
      <c r="C1743" s="59"/>
      <c r="D1743" s="59"/>
      <c r="E1743" s="59"/>
    </row>
    <row r="1744">
      <c r="A1744" s="59"/>
      <c r="B1744" s="59"/>
      <c r="C1744" s="59"/>
      <c r="D1744" s="59"/>
      <c r="E1744" s="59"/>
    </row>
    <row r="1745">
      <c r="A1745" s="59"/>
      <c r="B1745" s="59"/>
      <c r="C1745" s="59"/>
      <c r="D1745" s="59"/>
      <c r="E1745" s="59"/>
    </row>
    <row r="1746">
      <c r="A1746" s="59"/>
      <c r="B1746" s="59"/>
      <c r="C1746" s="59"/>
      <c r="D1746" s="59"/>
      <c r="E1746" s="59"/>
    </row>
    <row r="1747">
      <c r="A1747" s="59"/>
      <c r="B1747" s="59"/>
      <c r="C1747" s="59"/>
      <c r="D1747" s="59"/>
      <c r="E1747" s="59"/>
    </row>
    <row r="1748">
      <c r="A1748" s="59"/>
      <c r="B1748" s="59"/>
      <c r="C1748" s="59"/>
      <c r="D1748" s="59"/>
      <c r="E1748" s="59"/>
    </row>
    <row r="1749">
      <c r="A1749" s="59"/>
      <c r="B1749" s="59"/>
      <c r="C1749" s="59"/>
      <c r="D1749" s="59"/>
      <c r="E1749" s="59"/>
    </row>
    <row r="1750">
      <c r="A1750" s="59"/>
      <c r="B1750" s="59"/>
      <c r="C1750" s="59"/>
      <c r="D1750" s="59"/>
      <c r="E1750" s="59"/>
    </row>
    <row r="1751">
      <c r="A1751" s="59"/>
      <c r="B1751" s="59"/>
      <c r="C1751" s="59"/>
      <c r="D1751" s="59"/>
      <c r="E1751" s="59"/>
    </row>
    <row r="1752">
      <c r="A1752" s="59"/>
      <c r="B1752" s="59"/>
      <c r="C1752" s="59"/>
      <c r="D1752" s="59"/>
      <c r="E1752" s="59"/>
    </row>
    <row r="1753">
      <c r="A1753" s="59"/>
      <c r="B1753" s="59"/>
      <c r="C1753" s="59"/>
      <c r="D1753" s="59"/>
      <c r="E1753" s="59"/>
    </row>
    <row r="1754">
      <c r="A1754" s="59"/>
      <c r="B1754" s="59"/>
      <c r="C1754" s="59"/>
      <c r="D1754" s="59"/>
      <c r="E1754" s="59"/>
    </row>
    <row r="1755">
      <c r="A1755" s="59"/>
      <c r="B1755" s="59"/>
      <c r="C1755" s="59"/>
      <c r="D1755" s="59"/>
      <c r="E1755" s="59"/>
    </row>
    <row r="1756">
      <c r="A1756" s="59"/>
      <c r="B1756" s="59"/>
      <c r="C1756" s="59"/>
      <c r="D1756" s="59"/>
      <c r="E1756" s="59"/>
    </row>
    <row r="1757">
      <c r="A1757" s="59"/>
      <c r="B1757" s="59"/>
      <c r="C1757" s="59"/>
      <c r="D1757" s="59"/>
      <c r="E1757" s="59"/>
    </row>
    <row r="1758">
      <c r="A1758" s="59"/>
      <c r="B1758" s="59"/>
      <c r="C1758" s="59"/>
      <c r="D1758" s="59"/>
      <c r="E1758" s="59"/>
    </row>
    <row r="1759">
      <c r="A1759" s="59"/>
      <c r="B1759" s="59"/>
      <c r="C1759" s="59"/>
      <c r="D1759" s="59"/>
      <c r="E1759" s="59"/>
    </row>
    <row r="1760">
      <c r="A1760" s="59"/>
      <c r="B1760" s="59"/>
      <c r="C1760" s="59"/>
      <c r="D1760" s="59"/>
      <c r="E1760" s="59"/>
    </row>
    <row r="1761">
      <c r="A1761" s="59"/>
      <c r="B1761" s="59"/>
      <c r="C1761" s="59"/>
      <c r="D1761" s="59"/>
      <c r="E1761" s="59"/>
    </row>
    <row r="1762">
      <c r="A1762" s="59"/>
      <c r="B1762" s="59"/>
      <c r="C1762" s="59"/>
      <c r="D1762" s="59"/>
      <c r="E1762" s="59"/>
    </row>
    <row r="1763">
      <c r="A1763" s="59"/>
      <c r="B1763" s="59"/>
      <c r="C1763" s="59"/>
      <c r="D1763" s="59"/>
      <c r="E1763" s="59"/>
    </row>
    <row r="1764">
      <c r="A1764" s="59"/>
      <c r="B1764" s="59"/>
      <c r="C1764" s="59"/>
      <c r="D1764" s="59"/>
      <c r="E1764" s="59"/>
    </row>
    <row r="1765">
      <c r="A1765" s="59"/>
      <c r="B1765" s="59"/>
      <c r="C1765" s="59"/>
      <c r="D1765" s="59"/>
      <c r="E1765" s="59"/>
    </row>
    <row r="1766">
      <c r="A1766" s="59"/>
      <c r="B1766" s="59"/>
      <c r="C1766" s="59"/>
      <c r="D1766" s="59"/>
      <c r="E1766" s="59"/>
    </row>
    <row r="1767">
      <c r="A1767" s="59"/>
      <c r="B1767" s="59"/>
      <c r="C1767" s="59"/>
      <c r="D1767" s="59"/>
      <c r="E1767" s="59"/>
    </row>
    <row r="1768">
      <c r="A1768" s="59"/>
      <c r="B1768" s="59"/>
      <c r="C1768" s="59"/>
      <c r="D1768" s="59"/>
      <c r="E1768" s="59"/>
    </row>
    <row r="1769">
      <c r="A1769" s="59"/>
      <c r="B1769" s="59"/>
      <c r="C1769" s="59"/>
      <c r="D1769" s="59"/>
      <c r="E1769" s="59"/>
    </row>
    <row r="1770">
      <c r="A1770" s="59"/>
      <c r="B1770" s="59"/>
      <c r="C1770" s="59"/>
      <c r="D1770" s="59"/>
      <c r="E1770" s="59"/>
    </row>
    <row r="1771">
      <c r="A1771" s="59"/>
      <c r="B1771" s="59"/>
      <c r="C1771" s="59"/>
      <c r="D1771" s="59"/>
      <c r="E1771" s="59"/>
    </row>
    <row r="1772">
      <c r="A1772" s="59"/>
      <c r="B1772" s="59"/>
      <c r="C1772" s="59"/>
      <c r="D1772" s="59"/>
      <c r="E1772" s="59"/>
    </row>
    <row r="1773">
      <c r="A1773" s="59"/>
      <c r="B1773" s="59"/>
      <c r="C1773" s="59"/>
      <c r="D1773" s="59"/>
      <c r="E1773" s="59"/>
    </row>
    <row r="1774">
      <c r="A1774" s="4"/>
      <c r="B1774" s="4"/>
      <c r="C1774" s="4"/>
      <c r="D1774" s="4"/>
      <c r="E1774" s="6"/>
    </row>
    <row r="1775">
      <c r="A1775" s="4"/>
      <c r="B1775" s="4"/>
      <c r="C1775" s="4"/>
      <c r="D1775" s="4"/>
      <c r="E1775" s="6"/>
    </row>
    <row r="1776">
      <c r="A1776" s="4"/>
      <c r="B1776" s="4"/>
      <c r="C1776" s="4"/>
      <c r="D1776" s="4"/>
      <c r="E1776" s="6"/>
    </row>
    <row r="1777">
      <c r="A1777" s="4"/>
      <c r="B1777" s="4"/>
      <c r="C1777" s="4"/>
      <c r="D1777" s="4"/>
      <c r="E1777" s="6"/>
    </row>
    <row r="1778">
      <c r="A1778" s="59"/>
      <c r="B1778" s="59"/>
      <c r="C1778" s="59"/>
      <c r="D1778" s="59"/>
      <c r="E1778" s="59"/>
    </row>
    <row r="1779">
      <c r="A1779" s="59"/>
      <c r="B1779" s="59"/>
      <c r="C1779" s="59"/>
      <c r="D1779" s="59"/>
      <c r="E1779" s="59"/>
    </row>
    <row r="1780">
      <c r="A1780" s="59"/>
      <c r="B1780" s="59"/>
      <c r="C1780" s="59"/>
      <c r="D1780" s="59"/>
      <c r="E1780" s="59"/>
    </row>
    <row r="1781">
      <c r="A1781" s="59"/>
      <c r="B1781" s="59"/>
      <c r="C1781" s="59"/>
      <c r="D1781" s="59"/>
      <c r="E1781" s="59"/>
    </row>
    <row r="1782">
      <c r="A1782" s="59"/>
      <c r="B1782" s="59"/>
      <c r="C1782" s="59"/>
      <c r="D1782" s="59"/>
      <c r="E1782" s="59"/>
    </row>
    <row r="1783">
      <c r="A1783" s="59"/>
      <c r="B1783" s="59"/>
      <c r="C1783" s="59"/>
      <c r="D1783" s="59"/>
      <c r="E1783" s="59"/>
    </row>
    <row r="1784">
      <c r="A1784" s="59"/>
      <c r="B1784" s="59"/>
      <c r="C1784" s="59"/>
      <c r="D1784" s="59"/>
      <c r="E1784" s="59"/>
    </row>
    <row r="1785">
      <c r="A1785" s="59"/>
      <c r="B1785" s="59"/>
      <c r="C1785" s="59"/>
      <c r="D1785" s="59"/>
      <c r="E1785" s="59"/>
    </row>
    <row r="1786">
      <c r="A1786" s="59"/>
      <c r="B1786" s="59"/>
      <c r="C1786" s="59"/>
      <c r="D1786" s="59"/>
      <c r="E1786" s="59"/>
    </row>
    <row r="1787">
      <c r="A1787" s="4"/>
      <c r="B1787" s="4"/>
      <c r="C1787" s="4"/>
      <c r="D1787" s="4"/>
      <c r="E1787" s="6"/>
    </row>
    <row r="1788">
      <c r="A1788" s="4"/>
      <c r="B1788" s="4"/>
      <c r="C1788" s="4"/>
      <c r="D1788" s="4"/>
      <c r="E1788" s="6"/>
    </row>
    <row r="1789">
      <c r="A1789" s="4"/>
      <c r="B1789" s="4"/>
      <c r="C1789" s="4"/>
      <c r="D1789" s="4"/>
      <c r="E1789" s="6"/>
    </row>
    <row r="1790">
      <c r="A1790" s="4"/>
      <c r="B1790" s="4"/>
      <c r="C1790" s="4"/>
      <c r="D1790" s="4"/>
      <c r="E1790" s="6"/>
    </row>
    <row r="1791">
      <c r="A1791" s="4"/>
      <c r="B1791" s="4"/>
      <c r="C1791" s="4"/>
      <c r="D1791" s="4"/>
      <c r="E1791" s="6"/>
    </row>
    <row r="1792">
      <c r="A1792" s="62"/>
      <c r="B1792" s="62"/>
      <c r="C1792" s="62"/>
      <c r="D1792" s="62"/>
      <c r="E1792" s="62"/>
    </row>
    <row r="1793">
      <c r="A1793" s="62"/>
      <c r="B1793" s="62"/>
      <c r="C1793" s="62"/>
      <c r="D1793" s="62"/>
      <c r="E1793" s="62"/>
    </row>
    <row r="1794">
      <c r="A1794" s="62"/>
      <c r="B1794" s="62"/>
      <c r="C1794" s="62"/>
      <c r="D1794" s="62"/>
      <c r="E1794" s="62"/>
    </row>
    <row r="1795">
      <c r="A1795" s="62"/>
      <c r="B1795" s="62"/>
      <c r="C1795" s="62"/>
      <c r="D1795" s="62"/>
      <c r="E1795" s="62"/>
    </row>
    <row r="1796">
      <c r="A1796" s="59"/>
      <c r="B1796" s="59"/>
      <c r="C1796" s="59"/>
      <c r="D1796" s="59"/>
      <c r="E1796" s="59"/>
    </row>
    <row r="1797">
      <c r="A1797" s="59"/>
      <c r="B1797" s="59"/>
      <c r="C1797" s="59"/>
      <c r="D1797" s="59"/>
      <c r="E1797" s="59"/>
    </row>
    <row r="1798">
      <c r="A1798" s="59"/>
      <c r="B1798" s="59"/>
      <c r="C1798" s="59"/>
      <c r="D1798" s="59"/>
      <c r="E1798" s="59"/>
    </row>
    <row r="1799">
      <c r="A1799" s="59"/>
      <c r="B1799" s="59"/>
      <c r="C1799" s="59"/>
      <c r="D1799" s="59"/>
      <c r="E1799" s="59"/>
    </row>
    <row r="1800">
      <c r="A1800" s="59"/>
      <c r="B1800" s="59"/>
      <c r="C1800" s="59"/>
      <c r="D1800" s="59"/>
      <c r="E1800" s="59"/>
    </row>
    <row r="1801">
      <c r="A1801" s="59"/>
      <c r="B1801" s="59"/>
      <c r="C1801" s="59"/>
      <c r="D1801" s="59"/>
      <c r="E1801" s="59"/>
    </row>
    <row r="1802">
      <c r="A1802" s="59"/>
      <c r="B1802" s="59"/>
      <c r="C1802" s="59"/>
      <c r="D1802" s="59"/>
      <c r="E1802" s="59"/>
    </row>
    <row r="1803">
      <c r="A1803" s="59"/>
      <c r="B1803" s="59"/>
      <c r="C1803" s="59"/>
      <c r="D1803" s="59"/>
      <c r="E1803" s="59"/>
    </row>
    <row r="1804">
      <c r="A1804" s="59"/>
      <c r="B1804" s="59"/>
      <c r="C1804" s="59"/>
      <c r="D1804" s="59"/>
      <c r="E1804" s="59"/>
    </row>
    <row r="1805">
      <c r="A1805" s="59"/>
      <c r="B1805" s="59"/>
      <c r="C1805" s="59"/>
      <c r="D1805" s="59"/>
      <c r="E1805" s="59"/>
    </row>
    <row r="1806">
      <c r="A1806" s="4"/>
      <c r="B1806" s="4"/>
      <c r="C1806" s="4"/>
      <c r="D1806" s="4"/>
      <c r="E1806" s="6"/>
    </row>
    <row r="1807">
      <c r="A1807" s="4"/>
      <c r="B1807" s="4"/>
      <c r="C1807" s="4"/>
      <c r="D1807" s="4"/>
      <c r="E1807" s="6"/>
    </row>
    <row r="1808">
      <c r="A1808" s="4"/>
      <c r="B1808" s="4"/>
      <c r="C1808" s="4"/>
      <c r="D1808" s="4"/>
      <c r="E1808" s="6"/>
    </row>
    <row r="1809">
      <c r="A1809" s="4"/>
      <c r="B1809" s="4"/>
      <c r="C1809" s="4"/>
      <c r="D1809" s="4"/>
      <c r="E1809" s="6"/>
    </row>
    <row r="1810">
      <c r="A1810" s="59"/>
      <c r="B1810" s="59"/>
      <c r="C1810" s="59"/>
      <c r="D1810" s="59"/>
      <c r="E1810" s="59"/>
    </row>
    <row r="1811">
      <c r="A1811" s="62"/>
      <c r="B1811" s="62"/>
      <c r="C1811" s="62"/>
      <c r="D1811" s="62"/>
      <c r="E1811" s="62"/>
    </row>
    <row r="1812">
      <c r="A1812" s="62"/>
      <c r="B1812" s="62"/>
      <c r="C1812" s="62"/>
      <c r="D1812" s="62"/>
      <c r="E1812" s="62"/>
    </row>
    <row r="1813">
      <c r="A1813" s="62"/>
      <c r="B1813" s="62"/>
      <c r="C1813" s="62"/>
      <c r="D1813" s="62"/>
      <c r="E1813" s="62"/>
    </row>
    <row r="1814">
      <c r="A1814" s="62"/>
      <c r="B1814" s="62"/>
      <c r="C1814" s="62"/>
      <c r="D1814" s="62"/>
      <c r="E1814" s="62"/>
    </row>
    <row r="1815">
      <c r="A1815" s="59"/>
      <c r="B1815" s="59"/>
      <c r="C1815" s="59"/>
      <c r="D1815" s="59"/>
      <c r="E1815" s="59"/>
    </row>
    <row r="1816">
      <c r="A1816" s="59"/>
      <c r="B1816" s="59"/>
      <c r="C1816" s="59"/>
      <c r="D1816" s="59"/>
      <c r="E1816" s="59"/>
    </row>
    <row r="1817">
      <c r="A1817" s="59"/>
      <c r="B1817" s="59"/>
      <c r="C1817" s="59"/>
      <c r="D1817" s="59"/>
      <c r="E1817" s="59"/>
    </row>
    <row r="1818">
      <c r="A1818" s="4"/>
      <c r="B1818" s="4"/>
      <c r="C1818" s="17"/>
      <c r="D1818" s="4"/>
      <c r="E1818" s="6"/>
    </row>
    <row r="1819">
      <c r="A1819" s="4"/>
      <c r="B1819" s="4"/>
      <c r="C1819" s="17"/>
      <c r="D1819" s="4"/>
      <c r="E1819" s="6"/>
    </row>
    <row r="1820">
      <c r="A1820" s="4"/>
      <c r="B1820" s="4"/>
      <c r="C1820" s="4"/>
      <c r="D1820" s="4"/>
      <c r="E1820" s="6"/>
    </row>
    <row r="1821">
      <c r="A1821" s="59"/>
      <c r="B1821" s="59"/>
      <c r="C1821" s="59"/>
      <c r="D1821" s="59"/>
      <c r="E1821" s="59"/>
    </row>
    <row r="1822">
      <c r="A1822" s="59"/>
      <c r="B1822" s="59"/>
      <c r="C1822" s="59"/>
      <c r="D1822" s="59"/>
      <c r="E1822" s="59"/>
    </row>
    <row r="1823">
      <c r="A1823" s="59"/>
      <c r="B1823" s="59"/>
      <c r="C1823" s="59"/>
      <c r="D1823" s="59"/>
      <c r="E1823" s="59"/>
    </row>
    <row r="1824">
      <c r="A1824" s="59"/>
      <c r="B1824" s="59"/>
      <c r="C1824" s="59"/>
      <c r="D1824" s="59"/>
      <c r="E1824" s="59"/>
    </row>
    <row r="1825">
      <c r="A1825" s="59"/>
      <c r="B1825" s="59"/>
      <c r="C1825" s="59"/>
      <c r="D1825" s="59"/>
      <c r="E1825" s="59"/>
    </row>
    <row r="1826">
      <c r="A1826" s="59"/>
      <c r="B1826" s="59"/>
      <c r="C1826" s="59"/>
      <c r="D1826" s="59"/>
      <c r="E1826" s="59"/>
    </row>
    <row r="1827">
      <c r="A1827" s="59"/>
      <c r="B1827" s="59"/>
      <c r="C1827" s="59"/>
      <c r="D1827" s="59"/>
      <c r="E1827" s="59"/>
    </row>
    <row r="1828">
      <c r="A1828" s="59"/>
      <c r="B1828" s="59"/>
      <c r="C1828" s="59"/>
      <c r="D1828" s="59"/>
      <c r="E1828" s="59"/>
    </row>
    <row r="1829">
      <c r="A1829" s="59"/>
      <c r="B1829" s="59"/>
      <c r="C1829" s="59"/>
      <c r="D1829" s="59"/>
      <c r="E1829" s="59"/>
    </row>
    <row r="1830">
      <c r="A1830" s="59"/>
      <c r="B1830" s="59"/>
      <c r="C1830" s="59"/>
      <c r="D1830" s="59"/>
      <c r="E1830" s="59"/>
    </row>
    <row r="1831">
      <c r="A1831" s="59"/>
      <c r="B1831" s="59"/>
      <c r="C1831" s="59"/>
      <c r="D1831" s="59"/>
      <c r="E1831" s="59"/>
    </row>
    <row r="1832">
      <c r="A1832" s="59"/>
      <c r="B1832" s="59"/>
      <c r="C1832" s="59"/>
      <c r="D1832" s="59"/>
      <c r="E1832" s="59"/>
    </row>
    <row r="1833">
      <c r="A1833" s="59"/>
      <c r="B1833" s="59"/>
      <c r="C1833" s="59"/>
      <c r="D1833" s="59"/>
      <c r="E1833" s="59"/>
    </row>
    <row r="1834">
      <c r="A1834" s="59"/>
      <c r="B1834" s="59"/>
      <c r="C1834" s="59"/>
      <c r="D1834" s="59"/>
      <c r="E1834" s="59"/>
    </row>
    <row r="1835">
      <c r="A1835" s="59"/>
      <c r="B1835" s="59"/>
      <c r="C1835" s="59"/>
      <c r="D1835" s="59"/>
      <c r="E1835" s="59"/>
    </row>
    <row r="1836">
      <c r="A1836" s="59"/>
      <c r="B1836" s="59"/>
      <c r="C1836" s="59"/>
      <c r="D1836" s="59"/>
      <c r="E1836" s="59"/>
    </row>
    <row r="1837">
      <c r="A1837" s="59"/>
      <c r="B1837" s="59"/>
      <c r="C1837" s="59"/>
      <c r="D1837" s="59"/>
      <c r="E1837" s="59"/>
    </row>
    <row r="1838">
      <c r="A1838" s="59"/>
      <c r="B1838" s="59"/>
      <c r="C1838" s="59"/>
      <c r="D1838" s="59"/>
      <c r="E1838" s="59"/>
    </row>
    <row r="1839">
      <c r="A1839" s="59"/>
      <c r="B1839" s="59"/>
      <c r="C1839" s="59"/>
      <c r="D1839" s="59"/>
      <c r="E1839" s="59"/>
    </row>
    <row r="1840">
      <c r="A1840" s="59"/>
      <c r="B1840" s="59"/>
      <c r="C1840" s="59"/>
      <c r="D1840" s="59"/>
      <c r="E1840" s="59"/>
    </row>
    <row r="1841">
      <c r="A1841" s="59"/>
      <c r="B1841" s="59"/>
      <c r="C1841" s="59"/>
      <c r="D1841" s="59"/>
      <c r="E1841" s="59"/>
    </row>
    <row r="1842">
      <c r="A1842" s="59"/>
      <c r="B1842" s="59"/>
      <c r="C1842" s="59"/>
      <c r="D1842" s="59"/>
      <c r="E1842" s="59"/>
    </row>
    <row r="1843">
      <c r="A1843" s="59"/>
      <c r="B1843" s="59"/>
      <c r="C1843" s="59"/>
      <c r="D1843" s="59"/>
      <c r="E1843" s="59"/>
    </row>
    <row r="1844">
      <c r="A1844" s="59"/>
      <c r="B1844" s="59"/>
      <c r="C1844" s="59"/>
      <c r="D1844" s="59"/>
      <c r="E1844" s="59"/>
    </row>
    <row r="1845">
      <c r="A1845" s="59"/>
      <c r="B1845" s="59"/>
      <c r="C1845" s="59"/>
      <c r="D1845" s="59"/>
      <c r="E1845" s="59"/>
    </row>
    <row r="1846">
      <c r="A1846" s="59"/>
      <c r="B1846" s="59"/>
      <c r="C1846" s="59"/>
      <c r="D1846" s="59"/>
      <c r="E1846" s="59"/>
    </row>
    <row r="1847">
      <c r="A1847" s="59"/>
      <c r="B1847" s="59"/>
      <c r="C1847" s="59"/>
      <c r="D1847" s="59"/>
      <c r="E1847" s="59"/>
    </row>
    <row r="1848">
      <c r="A1848" s="59"/>
      <c r="B1848" s="59"/>
      <c r="C1848" s="59"/>
      <c r="D1848" s="59"/>
      <c r="E1848" s="59"/>
    </row>
    <row r="1849">
      <c r="A1849" s="59"/>
      <c r="B1849" s="59"/>
      <c r="C1849" s="59"/>
      <c r="D1849" s="59"/>
      <c r="E1849" s="59"/>
    </row>
    <row r="1850">
      <c r="A1850" s="59"/>
      <c r="B1850" s="59"/>
      <c r="C1850" s="59"/>
      <c r="D1850" s="59"/>
      <c r="E1850" s="59"/>
    </row>
    <row r="1851">
      <c r="A1851" s="59"/>
      <c r="B1851" s="59"/>
      <c r="C1851" s="59"/>
      <c r="D1851" s="59"/>
      <c r="E1851" s="59"/>
    </row>
    <row r="1852">
      <c r="A1852" s="59"/>
      <c r="B1852" s="59"/>
      <c r="C1852" s="59"/>
      <c r="D1852" s="59"/>
      <c r="E1852" s="59"/>
    </row>
    <row r="1853">
      <c r="A1853" s="59"/>
      <c r="B1853" s="59"/>
      <c r="C1853" s="59"/>
      <c r="D1853" s="59"/>
      <c r="E1853" s="59"/>
    </row>
    <row r="1854">
      <c r="A1854" s="59"/>
      <c r="B1854" s="59"/>
      <c r="C1854" s="59"/>
      <c r="D1854" s="59"/>
      <c r="E1854" s="59"/>
    </row>
    <row r="1855">
      <c r="A1855" s="59"/>
      <c r="B1855" s="59"/>
      <c r="C1855" s="59"/>
      <c r="D1855" s="59"/>
      <c r="E1855" s="59"/>
    </row>
    <row r="1856">
      <c r="A1856" s="59"/>
      <c r="B1856" s="59"/>
      <c r="C1856" s="59"/>
      <c r="D1856" s="59"/>
      <c r="E1856" s="59"/>
    </row>
    <row r="1857">
      <c r="A1857" s="59"/>
      <c r="B1857" s="59"/>
      <c r="C1857" s="59"/>
      <c r="D1857" s="59"/>
      <c r="E1857" s="59"/>
    </row>
    <row r="1858">
      <c r="A1858" s="59"/>
      <c r="B1858" s="59"/>
      <c r="C1858" s="59"/>
      <c r="D1858" s="59"/>
      <c r="E1858" s="59"/>
    </row>
    <row r="1859">
      <c r="A1859" s="59"/>
      <c r="B1859" s="59"/>
      <c r="C1859" s="59"/>
      <c r="D1859" s="59"/>
      <c r="E1859" s="59"/>
    </row>
    <row r="1860">
      <c r="A1860" s="59"/>
      <c r="B1860" s="59"/>
      <c r="C1860" s="59"/>
      <c r="D1860" s="59"/>
      <c r="E1860" s="59"/>
    </row>
    <row r="1861">
      <c r="A1861" s="59"/>
      <c r="B1861" s="59"/>
      <c r="C1861" s="59"/>
      <c r="D1861" s="59"/>
      <c r="E1861" s="59"/>
    </row>
    <row r="1862">
      <c r="A1862" s="59"/>
      <c r="B1862" s="59"/>
      <c r="C1862" s="59"/>
      <c r="D1862" s="59"/>
      <c r="E1862" s="59"/>
    </row>
    <row r="1863">
      <c r="A1863" s="59"/>
      <c r="B1863" s="59"/>
      <c r="C1863" s="59"/>
      <c r="D1863" s="59"/>
      <c r="E1863" s="59"/>
    </row>
    <row r="1864">
      <c r="A1864" s="4"/>
      <c r="B1864" s="4"/>
      <c r="C1864" s="4"/>
      <c r="D1864" s="4"/>
      <c r="E1864" s="6"/>
    </row>
    <row r="1865">
      <c r="A1865" s="4"/>
      <c r="B1865" s="4"/>
      <c r="C1865" s="4"/>
      <c r="D1865" s="4"/>
      <c r="E1865" s="6"/>
    </row>
    <row r="1866">
      <c r="A1866" s="4"/>
      <c r="B1866" s="4"/>
      <c r="C1866" s="4"/>
      <c r="D1866" s="4"/>
      <c r="E1866" s="6"/>
    </row>
    <row r="1867">
      <c r="A1867" s="4"/>
      <c r="B1867" s="4"/>
      <c r="C1867" s="4"/>
      <c r="D1867" s="4"/>
      <c r="E1867" s="6"/>
    </row>
    <row r="1868">
      <c r="A1868" s="4"/>
      <c r="B1868" s="4"/>
      <c r="C1868" s="4"/>
      <c r="D1868" s="4"/>
      <c r="E1868" s="6"/>
    </row>
    <row r="1869">
      <c r="A1869" s="4"/>
      <c r="B1869" s="4"/>
      <c r="C1869" s="4"/>
      <c r="D1869" s="4"/>
      <c r="E1869" s="6"/>
    </row>
    <row r="1870">
      <c r="A1870" s="4"/>
      <c r="B1870" s="4"/>
      <c r="C1870" s="4"/>
      <c r="D1870" s="4"/>
      <c r="E1870" s="6"/>
    </row>
    <row r="1871">
      <c r="A1871" s="4"/>
      <c r="B1871" s="4"/>
      <c r="C1871" s="4"/>
      <c r="D1871" s="4"/>
      <c r="E1871" s="6"/>
    </row>
    <row r="1872">
      <c r="A1872" s="4"/>
      <c r="B1872" s="4"/>
      <c r="C1872" s="4"/>
      <c r="D1872" s="4"/>
      <c r="E1872" s="6"/>
    </row>
    <row r="1873">
      <c r="A1873" s="4"/>
      <c r="B1873" s="4"/>
      <c r="C1873" s="4"/>
      <c r="D1873" s="4"/>
      <c r="E1873" s="6"/>
    </row>
    <row r="1874">
      <c r="A1874" s="4"/>
      <c r="B1874" s="4"/>
      <c r="C1874" s="4"/>
      <c r="D1874" s="4"/>
      <c r="E1874" s="6"/>
    </row>
    <row r="1875">
      <c r="A1875" s="59"/>
      <c r="B1875" s="59"/>
      <c r="C1875" s="59"/>
      <c r="D1875" s="59"/>
      <c r="E1875" s="59"/>
    </row>
    <row r="1876">
      <c r="A1876" s="59"/>
      <c r="B1876" s="59"/>
      <c r="C1876" s="59"/>
      <c r="D1876" s="59"/>
      <c r="E1876" s="59"/>
    </row>
    <row r="1877">
      <c r="A1877" s="59"/>
      <c r="B1877" s="59"/>
      <c r="C1877" s="59"/>
      <c r="D1877" s="59"/>
      <c r="E1877" s="59"/>
    </row>
    <row r="1878">
      <c r="A1878" s="59"/>
      <c r="B1878" s="59"/>
      <c r="C1878" s="59"/>
      <c r="D1878" s="59"/>
      <c r="E1878" s="59"/>
    </row>
    <row r="1879">
      <c r="A1879" s="59"/>
      <c r="B1879" s="59"/>
      <c r="C1879" s="59"/>
      <c r="D1879" s="59"/>
      <c r="E1879" s="59"/>
    </row>
    <row r="1880">
      <c r="A1880" s="59"/>
      <c r="B1880" s="59"/>
      <c r="C1880" s="59"/>
      <c r="D1880" s="59"/>
      <c r="E1880" s="59"/>
    </row>
    <row r="1881">
      <c r="A1881" s="4"/>
      <c r="B1881" s="4"/>
      <c r="C1881" s="4"/>
      <c r="D1881" s="4"/>
      <c r="E1881" s="6"/>
    </row>
    <row r="1882">
      <c r="A1882" s="59"/>
      <c r="B1882" s="59"/>
      <c r="C1882" s="59"/>
      <c r="D1882" s="59"/>
      <c r="E1882" s="59"/>
    </row>
    <row r="1883">
      <c r="A1883" s="59"/>
      <c r="B1883" s="59"/>
      <c r="C1883" s="59"/>
      <c r="D1883" s="59"/>
      <c r="E1883" s="59"/>
    </row>
    <row r="1884">
      <c r="A1884" s="4"/>
      <c r="B1884" s="4"/>
      <c r="C1884" s="4"/>
      <c r="D1884" s="4"/>
      <c r="E1884" s="6"/>
    </row>
    <row r="1885">
      <c r="A1885" s="59"/>
      <c r="B1885" s="59"/>
      <c r="C1885" s="59"/>
      <c r="D1885" s="59"/>
      <c r="E1885" s="59"/>
    </row>
    <row r="1886">
      <c r="A1886" s="59"/>
      <c r="B1886" s="59"/>
      <c r="C1886" s="59"/>
      <c r="D1886" s="59"/>
      <c r="E1886" s="59"/>
    </row>
    <row r="1887">
      <c r="A1887" s="59"/>
      <c r="B1887" s="59"/>
      <c r="C1887" s="59"/>
      <c r="D1887" s="59"/>
      <c r="E1887" s="59"/>
    </row>
    <row r="1888">
      <c r="A1888" s="59"/>
      <c r="B1888" s="59"/>
      <c r="C1888" s="59"/>
      <c r="D1888" s="59"/>
      <c r="E1888" s="59"/>
    </row>
    <row r="1889">
      <c r="A1889" s="59"/>
      <c r="B1889" s="59"/>
      <c r="C1889" s="59"/>
      <c r="D1889" s="59"/>
      <c r="E1889" s="59"/>
    </row>
    <row r="1890">
      <c r="A1890" s="59"/>
      <c r="B1890" s="59"/>
      <c r="C1890" s="59"/>
      <c r="D1890" s="59"/>
      <c r="E1890" s="59"/>
    </row>
    <row r="1891">
      <c r="A1891" s="59"/>
      <c r="B1891" s="59"/>
      <c r="C1891" s="59"/>
      <c r="D1891" s="59"/>
      <c r="E1891" s="59"/>
    </row>
    <row r="1892">
      <c r="A1892" s="59"/>
      <c r="B1892" s="59"/>
      <c r="C1892" s="59"/>
      <c r="D1892" s="59"/>
      <c r="E1892" s="59"/>
    </row>
    <row r="1893">
      <c r="A1893" s="59"/>
      <c r="B1893" s="59"/>
      <c r="C1893" s="59"/>
      <c r="D1893" s="59"/>
      <c r="E1893" s="59"/>
    </row>
    <row r="1894">
      <c r="A1894" s="4"/>
      <c r="B1894" s="4"/>
      <c r="C1894" s="4"/>
      <c r="D1894" s="4"/>
      <c r="E1894" s="6"/>
    </row>
    <row r="1895">
      <c r="A1895" s="4"/>
      <c r="B1895" s="4"/>
      <c r="C1895" s="4"/>
      <c r="D1895" s="4"/>
      <c r="E1895" s="6"/>
    </row>
    <row r="1896">
      <c r="A1896" s="4"/>
      <c r="B1896" s="4"/>
      <c r="C1896" s="4"/>
      <c r="D1896" s="4"/>
      <c r="E1896" s="6"/>
    </row>
    <row r="1897">
      <c r="A1897" s="4"/>
      <c r="B1897" s="4"/>
      <c r="C1897" s="4"/>
      <c r="D1897" s="4"/>
      <c r="E1897" s="6"/>
    </row>
    <row r="1898">
      <c r="A1898" s="59"/>
      <c r="B1898" s="59"/>
      <c r="C1898" s="59"/>
      <c r="D1898" s="59"/>
      <c r="E1898" s="59"/>
    </row>
    <row r="1899">
      <c r="A1899" s="4"/>
      <c r="B1899" s="4"/>
      <c r="C1899" s="4"/>
      <c r="D1899" s="4"/>
      <c r="E1899" s="6"/>
    </row>
    <row r="1900">
      <c r="A1900" s="4"/>
      <c r="B1900" s="4"/>
      <c r="C1900" s="4"/>
      <c r="D1900" s="4"/>
      <c r="E1900" s="6"/>
    </row>
    <row r="1901">
      <c r="A1901" s="4"/>
      <c r="B1901" s="4"/>
      <c r="C1901" s="4"/>
      <c r="D1901" s="4"/>
      <c r="E1901" s="6"/>
    </row>
    <row r="1902">
      <c r="A1902" s="4"/>
      <c r="B1902" s="4"/>
      <c r="C1902" s="4"/>
      <c r="D1902" s="4"/>
      <c r="E1902" s="6"/>
    </row>
    <row r="1903">
      <c r="A1903" s="4"/>
      <c r="B1903" s="4"/>
      <c r="C1903" s="4"/>
      <c r="D1903" s="4"/>
      <c r="E1903" s="6"/>
    </row>
    <row r="1904">
      <c r="A1904" s="59"/>
      <c r="B1904" s="59"/>
      <c r="C1904" s="59"/>
      <c r="D1904" s="59"/>
      <c r="E1904" s="59"/>
    </row>
    <row r="1905">
      <c r="A1905" s="59"/>
      <c r="B1905" s="59"/>
      <c r="C1905" s="59"/>
      <c r="D1905" s="59"/>
      <c r="E1905" s="59"/>
    </row>
    <row r="1906">
      <c r="A1906" s="59"/>
      <c r="B1906" s="59"/>
      <c r="C1906" s="59"/>
      <c r="D1906" s="59"/>
      <c r="E1906" s="59"/>
    </row>
    <row r="1907">
      <c r="A1907" s="59"/>
      <c r="B1907" s="59"/>
      <c r="C1907" s="59"/>
      <c r="D1907" s="59"/>
      <c r="E1907" s="59"/>
    </row>
    <row r="1908">
      <c r="A1908" s="59"/>
      <c r="B1908" s="59"/>
      <c r="C1908" s="59"/>
      <c r="D1908" s="59"/>
      <c r="E1908" s="59"/>
    </row>
    <row r="1909">
      <c r="A1909" s="59"/>
      <c r="B1909" s="59"/>
      <c r="C1909" s="59"/>
      <c r="D1909" s="59"/>
      <c r="E1909" s="59"/>
    </row>
    <row r="1910">
      <c r="A1910" s="59"/>
      <c r="B1910" s="59"/>
      <c r="C1910" s="59"/>
      <c r="D1910" s="59"/>
      <c r="E1910" s="59"/>
    </row>
    <row r="1911">
      <c r="A1911" s="59"/>
      <c r="B1911" s="59"/>
      <c r="C1911" s="59"/>
      <c r="D1911" s="59"/>
      <c r="E1911" s="59"/>
    </row>
    <row r="1912">
      <c r="A1912" s="59"/>
      <c r="B1912" s="59"/>
      <c r="C1912" s="59"/>
      <c r="D1912" s="59"/>
      <c r="E1912" s="59"/>
    </row>
    <row r="1913">
      <c r="A1913" s="59"/>
      <c r="B1913" s="59"/>
      <c r="C1913" s="59"/>
      <c r="D1913" s="59"/>
      <c r="E1913" s="59"/>
    </row>
    <row r="1914">
      <c r="A1914" s="59"/>
      <c r="B1914" s="59"/>
      <c r="C1914" s="59"/>
      <c r="D1914" s="59"/>
      <c r="E1914" s="59"/>
    </row>
    <row r="1915">
      <c r="A1915" s="59"/>
      <c r="B1915" s="59"/>
      <c r="C1915" s="59"/>
      <c r="D1915" s="59"/>
      <c r="E1915" s="59"/>
    </row>
    <row r="1916">
      <c r="A1916" s="59"/>
      <c r="B1916" s="59"/>
      <c r="C1916" s="59"/>
      <c r="D1916" s="59"/>
      <c r="E1916" s="59"/>
    </row>
    <row r="1917">
      <c r="A1917" s="59"/>
      <c r="B1917" s="59"/>
      <c r="C1917" s="59"/>
      <c r="D1917" s="59"/>
      <c r="E1917" s="59"/>
    </row>
    <row r="1918">
      <c r="A1918" s="59"/>
      <c r="B1918" s="59"/>
      <c r="C1918" s="59"/>
      <c r="D1918" s="59"/>
      <c r="E1918" s="59"/>
    </row>
    <row r="1919">
      <c r="A1919" s="59"/>
      <c r="B1919" s="59"/>
      <c r="C1919" s="59"/>
      <c r="D1919" s="59"/>
      <c r="E1919" s="59"/>
    </row>
    <row r="1920">
      <c r="A1920" s="59"/>
      <c r="B1920" s="59"/>
      <c r="C1920" s="59"/>
      <c r="D1920" s="59"/>
      <c r="E1920" s="59"/>
    </row>
    <row r="1921">
      <c r="A1921" s="59"/>
      <c r="B1921" s="59"/>
      <c r="C1921" s="59"/>
      <c r="D1921" s="59"/>
      <c r="E1921" s="59"/>
    </row>
    <row r="1922">
      <c r="A1922" s="59"/>
      <c r="B1922" s="59"/>
      <c r="C1922" s="59"/>
      <c r="D1922" s="59"/>
      <c r="E1922" s="59"/>
    </row>
    <row r="1923">
      <c r="A1923" s="4"/>
      <c r="B1923" s="4"/>
      <c r="C1923" s="4"/>
      <c r="D1923" s="4"/>
      <c r="E1923" s="6"/>
    </row>
    <row r="1924">
      <c r="A1924" s="59"/>
      <c r="B1924" s="59"/>
      <c r="C1924" s="59"/>
      <c r="D1924" s="59"/>
      <c r="E1924" s="59"/>
    </row>
    <row r="1925">
      <c r="A1925" s="59"/>
      <c r="B1925" s="59"/>
      <c r="C1925" s="59"/>
      <c r="D1925" s="59"/>
      <c r="E1925" s="59"/>
    </row>
    <row r="1926">
      <c r="A1926" s="59"/>
      <c r="B1926" s="59"/>
      <c r="C1926" s="59"/>
      <c r="D1926" s="59"/>
      <c r="E1926" s="59"/>
    </row>
    <row r="1927">
      <c r="A1927" s="59"/>
      <c r="B1927" s="59"/>
      <c r="C1927" s="59"/>
      <c r="D1927" s="59"/>
      <c r="E1927" s="59"/>
    </row>
    <row r="1928">
      <c r="A1928" s="4"/>
      <c r="B1928" s="4"/>
      <c r="C1928" s="4"/>
      <c r="D1928" s="4"/>
      <c r="E1928" s="6"/>
    </row>
    <row r="1929">
      <c r="A1929" s="59"/>
      <c r="B1929" s="59"/>
      <c r="C1929" s="59"/>
      <c r="D1929" s="59"/>
      <c r="E1929" s="59"/>
    </row>
    <row r="1930">
      <c r="A1930" s="59"/>
      <c r="B1930" s="59"/>
      <c r="C1930" s="59"/>
      <c r="D1930" s="59"/>
      <c r="E1930" s="59"/>
    </row>
    <row r="1931">
      <c r="A1931" s="59"/>
      <c r="B1931" s="59"/>
      <c r="C1931" s="59"/>
      <c r="D1931" s="59"/>
      <c r="E1931" s="59"/>
    </row>
    <row r="1932">
      <c r="A1932" s="59"/>
      <c r="B1932" s="59"/>
      <c r="C1932" s="59"/>
      <c r="D1932" s="59"/>
      <c r="E1932" s="59"/>
    </row>
    <row r="1933">
      <c r="A1933" s="59"/>
      <c r="B1933" s="59"/>
      <c r="C1933" s="59"/>
      <c r="D1933" s="59"/>
      <c r="E1933" s="59"/>
    </row>
    <row r="1934">
      <c r="A1934" s="59"/>
      <c r="B1934" s="59"/>
      <c r="C1934" s="59"/>
      <c r="D1934" s="59"/>
      <c r="E1934" s="59"/>
    </row>
    <row r="1935">
      <c r="A1935" s="59"/>
      <c r="B1935" s="59"/>
      <c r="C1935" s="59"/>
      <c r="D1935" s="59"/>
      <c r="E1935" s="59"/>
    </row>
    <row r="1936">
      <c r="A1936" s="59"/>
      <c r="B1936" s="59"/>
      <c r="C1936" s="59"/>
      <c r="D1936" s="59"/>
      <c r="E1936" s="59"/>
    </row>
    <row r="1937">
      <c r="A1937" s="59"/>
      <c r="B1937" s="59"/>
      <c r="C1937" s="59"/>
      <c r="D1937" s="59"/>
      <c r="E1937" s="59"/>
    </row>
    <row r="1938">
      <c r="A1938" s="59"/>
      <c r="B1938" s="59"/>
      <c r="C1938" s="59"/>
      <c r="D1938" s="59"/>
      <c r="E1938" s="59"/>
    </row>
    <row r="1939">
      <c r="A1939" s="59"/>
      <c r="B1939" s="59"/>
      <c r="C1939" s="59"/>
      <c r="D1939" s="59"/>
      <c r="E1939" s="59"/>
    </row>
    <row r="1940">
      <c r="A1940" s="59"/>
      <c r="B1940" s="59"/>
      <c r="C1940" s="59"/>
      <c r="D1940" s="59"/>
      <c r="E1940" s="59"/>
    </row>
    <row r="1941">
      <c r="A1941" s="59"/>
      <c r="B1941" s="59"/>
      <c r="C1941" s="59"/>
      <c r="D1941" s="59"/>
      <c r="E1941" s="59"/>
    </row>
    <row r="1942">
      <c r="A1942" s="59"/>
      <c r="B1942" s="59"/>
      <c r="C1942" s="59"/>
      <c r="D1942" s="59"/>
      <c r="E1942" s="59"/>
    </row>
    <row r="1943">
      <c r="A1943" s="59"/>
      <c r="B1943" s="59"/>
      <c r="C1943" s="59"/>
      <c r="D1943" s="59"/>
      <c r="E1943" s="59"/>
    </row>
    <row r="1944">
      <c r="A1944" s="59"/>
      <c r="B1944" s="59"/>
      <c r="C1944" s="59"/>
      <c r="D1944" s="59"/>
      <c r="E1944" s="59"/>
    </row>
    <row r="1945">
      <c r="A1945" s="59"/>
      <c r="B1945" s="59"/>
      <c r="C1945" s="59"/>
      <c r="D1945" s="59"/>
      <c r="E1945" s="59"/>
    </row>
    <row r="1946">
      <c r="A1946" s="59"/>
      <c r="B1946" s="59"/>
      <c r="C1946" s="59"/>
      <c r="D1946" s="59"/>
      <c r="E1946" s="59"/>
    </row>
    <row r="1947">
      <c r="A1947" s="59"/>
      <c r="B1947" s="59"/>
      <c r="C1947" s="59"/>
      <c r="D1947" s="59"/>
      <c r="E1947" s="59"/>
    </row>
    <row r="1948">
      <c r="A1948" s="59"/>
      <c r="B1948" s="59"/>
      <c r="C1948" s="59"/>
      <c r="D1948" s="59"/>
      <c r="E1948" s="59"/>
    </row>
    <row r="1949">
      <c r="A1949" s="59"/>
      <c r="B1949" s="59"/>
      <c r="C1949" s="59"/>
      <c r="D1949" s="59"/>
      <c r="E1949" s="59"/>
    </row>
    <row r="1950">
      <c r="A1950" s="59"/>
      <c r="B1950" s="59"/>
      <c r="C1950" s="59"/>
      <c r="D1950" s="59"/>
      <c r="E1950" s="59"/>
    </row>
    <row r="1951">
      <c r="A1951" s="59"/>
      <c r="B1951" s="59"/>
      <c r="C1951" s="59"/>
      <c r="D1951" s="59"/>
      <c r="E1951" s="59"/>
    </row>
    <row r="1952">
      <c r="A1952" s="59"/>
      <c r="B1952" s="59"/>
      <c r="C1952" s="59"/>
      <c r="D1952" s="59"/>
      <c r="E1952" s="59"/>
    </row>
    <row r="1953">
      <c r="A1953" s="59"/>
      <c r="B1953" s="59"/>
      <c r="C1953" s="59"/>
      <c r="D1953" s="59"/>
      <c r="E1953" s="59"/>
    </row>
    <row r="1954">
      <c r="A1954" s="59"/>
      <c r="B1954" s="59"/>
      <c r="C1954" s="59"/>
      <c r="D1954" s="59"/>
      <c r="E1954" s="59"/>
    </row>
    <row r="1955">
      <c r="A1955" s="59"/>
      <c r="B1955" s="59"/>
      <c r="C1955" s="59"/>
      <c r="D1955" s="59"/>
      <c r="E1955" s="59"/>
    </row>
    <row r="1956">
      <c r="A1956" s="59"/>
      <c r="B1956" s="59"/>
      <c r="C1956" s="59"/>
      <c r="D1956" s="59"/>
      <c r="E1956" s="59"/>
    </row>
    <row r="1957">
      <c r="A1957" s="59"/>
      <c r="B1957" s="59"/>
      <c r="C1957" s="59"/>
      <c r="D1957" s="59"/>
      <c r="E1957" s="59"/>
    </row>
    <row r="1958">
      <c r="A1958" s="59"/>
      <c r="B1958" s="59"/>
      <c r="C1958" s="59"/>
      <c r="D1958" s="59"/>
      <c r="E1958" s="59"/>
    </row>
    <row r="1959">
      <c r="A1959" s="59"/>
      <c r="B1959" s="59"/>
      <c r="C1959" s="59"/>
      <c r="D1959" s="59"/>
      <c r="E1959" s="59"/>
    </row>
    <row r="1960">
      <c r="A1960" s="59"/>
      <c r="B1960" s="59"/>
      <c r="C1960" s="59"/>
      <c r="D1960" s="59"/>
      <c r="E1960" s="59"/>
    </row>
    <row r="1961">
      <c r="A1961" s="59"/>
      <c r="B1961" s="59"/>
      <c r="C1961" s="59"/>
      <c r="D1961" s="59"/>
      <c r="E1961" s="59"/>
    </row>
    <row r="1962">
      <c r="A1962" s="59"/>
      <c r="B1962" s="59"/>
      <c r="C1962" s="59"/>
      <c r="D1962" s="59"/>
      <c r="E1962" s="59"/>
    </row>
    <row r="1963">
      <c r="A1963" s="59"/>
      <c r="B1963" s="59"/>
      <c r="C1963" s="59"/>
      <c r="D1963" s="59"/>
      <c r="E1963" s="59"/>
    </row>
    <row r="1964">
      <c r="A1964" s="59"/>
      <c r="B1964" s="59"/>
      <c r="C1964" s="59"/>
      <c r="D1964" s="59"/>
      <c r="E1964" s="59"/>
    </row>
    <row r="1965">
      <c r="A1965" s="59"/>
      <c r="B1965" s="59"/>
      <c r="C1965" s="59"/>
      <c r="D1965" s="59"/>
      <c r="E1965" s="59"/>
    </row>
    <row r="1966">
      <c r="A1966" s="59"/>
      <c r="B1966" s="59"/>
      <c r="C1966" s="59"/>
      <c r="D1966" s="59"/>
      <c r="E1966" s="59"/>
    </row>
    <row r="1967">
      <c r="A1967" s="59"/>
      <c r="B1967" s="59"/>
      <c r="C1967" s="59"/>
      <c r="D1967" s="59"/>
      <c r="E1967" s="59"/>
    </row>
    <row r="1968">
      <c r="A1968" s="59"/>
      <c r="B1968" s="59"/>
      <c r="C1968" s="59"/>
      <c r="D1968" s="59"/>
      <c r="E1968" s="59"/>
    </row>
    <row r="1969">
      <c r="A1969" s="59"/>
      <c r="B1969" s="59"/>
      <c r="C1969" s="59"/>
      <c r="D1969" s="59"/>
      <c r="E1969" s="59"/>
    </row>
    <row r="1970">
      <c r="A1970" s="59"/>
      <c r="B1970" s="59"/>
      <c r="C1970" s="59"/>
      <c r="D1970" s="59"/>
      <c r="E1970" s="59"/>
    </row>
    <row r="1971">
      <c r="A1971" s="4"/>
      <c r="B1971" s="4"/>
      <c r="C1971" s="4"/>
      <c r="D1971" s="4"/>
      <c r="E1971" s="6"/>
    </row>
    <row r="1972">
      <c r="A1972" s="4"/>
      <c r="B1972" s="4"/>
      <c r="C1972" s="4"/>
      <c r="D1972" s="4"/>
      <c r="E1972" s="6"/>
    </row>
    <row r="1973">
      <c r="A1973" s="4"/>
      <c r="B1973" s="4"/>
      <c r="C1973" s="17"/>
      <c r="D1973" s="4"/>
      <c r="E1973" s="6"/>
    </row>
    <row r="1974">
      <c r="A1974" s="59"/>
      <c r="B1974" s="59"/>
      <c r="C1974" s="59"/>
      <c r="D1974" s="59"/>
      <c r="E1974" s="59"/>
    </row>
    <row r="1975">
      <c r="A1975" s="59"/>
      <c r="B1975" s="59"/>
      <c r="C1975" s="59"/>
      <c r="D1975" s="59"/>
      <c r="E1975" s="59"/>
    </row>
    <row r="1976">
      <c r="A1976" s="59"/>
      <c r="B1976" s="59"/>
      <c r="C1976" s="59"/>
      <c r="D1976" s="59"/>
      <c r="E1976" s="59"/>
    </row>
    <row r="1977">
      <c r="A1977" s="59"/>
      <c r="B1977" s="59"/>
      <c r="C1977" s="59"/>
      <c r="D1977" s="59"/>
      <c r="E1977" s="59"/>
    </row>
    <row r="1978">
      <c r="A1978" s="59"/>
      <c r="B1978" s="59"/>
      <c r="C1978" s="59"/>
      <c r="D1978" s="59"/>
      <c r="E1978" s="59"/>
    </row>
    <row r="1979">
      <c r="A1979" s="59"/>
      <c r="B1979" s="59"/>
      <c r="C1979" s="59"/>
      <c r="D1979" s="59"/>
      <c r="E1979" s="59"/>
    </row>
    <row r="1980">
      <c r="A1980" s="59"/>
      <c r="B1980" s="59"/>
      <c r="C1980" s="59"/>
      <c r="D1980" s="59"/>
      <c r="E1980" s="59"/>
    </row>
    <row r="1981">
      <c r="A1981" s="59"/>
      <c r="B1981" s="59"/>
      <c r="C1981" s="59"/>
      <c r="D1981" s="59"/>
      <c r="E1981" s="59"/>
    </row>
    <row r="1982">
      <c r="A1982" s="59"/>
      <c r="B1982" s="59"/>
      <c r="C1982" s="59"/>
      <c r="D1982" s="59"/>
      <c r="E1982" s="59"/>
    </row>
    <row r="1983">
      <c r="A1983" s="59"/>
      <c r="B1983" s="59"/>
      <c r="C1983" s="59"/>
      <c r="D1983" s="59"/>
      <c r="E1983" s="59"/>
    </row>
    <row r="1984">
      <c r="A1984" s="4"/>
      <c r="B1984" s="4"/>
      <c r="C1984" s="4"/>
      <c r="D1984" s="4"/>
      <c r="E1984" s="48"/>
    </row>
    <row r="1985">
      <c r="A1985" s="4"/>
      <c r="B1985" s="4"/>
      <c r="C1985" s="4"/>
      <c r="D1985" s="4"/>
      <c r="E1985" s="48"/>
    </row>
    <row r="1986">
      <c r="A1986" s="59"/>
      <c r="B1986" s="59"/>
      <c r="C1986" s="59"/>
      <c r="D1986" s="59"/>
      <c r="E1986" s="59"/>
    </row>
    <row r="1987">
      <c r="A1987" s="59"/>
      <c r="B1987" s="59"/>
      <c r="C1987" s="59"/>
      <c r="D1987" s="59"/>
      <c r="E1987" s="59"/>
    </row>
    <row r="1988">
      <c r="A1988" s="59"/>
      <c r="B1988" s="59"/>
      <c r="C1988" s="59"/>
      <c r="D1988" s="59"/>
      <c r="E1988" s="59"/>
    </row>
    <row r="1989">
      <c r="A1989" s="59"/>
      <c r="B1989" s="59"/>
      <c r="C1989" s="59"/>
      <c r="D1989" s="59"/>
      <c r="E1989" s="59"/>
    </row>
    <row r="1990">
      <c r="A1990" s="59"/>
      <c r="B1990" s="59"/>
      <c r="C1990" s="59"/>
      <c r="D1990" s="59"/>
      <c r="E1990" s="59"/>
    </row>
    <row r="1991">
      <c r="A1991" s="59"/>
      <c r="B1991" s="59"/>
      <c r="C1991" s="59"/>
      <c r="D1991" s="59"/>
      <c r="E1991" s="59"/>
    </row>
    <row r="1992">
      <c r="A1992" s="59"/>
      <c r="B1992" s="59"/>
      <c r="C1992" s="59"/>
      <c r="D1992" s="59"/>
      <c r="E1992" s="59"/>
    </row>
    <row r="1993">
      <c r="A1993" s="59"/>
      <c r="B1993" s="59"/>
      <c r="C1993" s="59"/>
      <c r="D1993" s="59"/>
      <c r="E1993" s="59"/>
    </row>
    <row r="1994">
      <c r="A1994" s="59"/>
      <c r="B1994" s="59"/>
      <c r="C1994" s="59"/>
      <c r="D1994" s="59"/>
      <c r="E1994" s="59"/>
    </row>
    <row r="1995">
      <c r="A1995" s="59"/>
      <c r="B1995" s="59"/>
      <c r="C1995" s="59"/>
      <c r="D1995" s="59"/>
      <c r="E1995" s="59"/>
    </row>
    <row r="1996">
      <c r="A1996" s="59"/>
      <c r="B1996" s="59"/>
      <c r="C1996" s="59"/>
      <c r="D1996" s="59"/>
      <c r="E1996" s="59"/>
    </row>
    <row r="1997">
      <c r="A1997" s="59"/>
      <c r="B1997" s="59"/>
      <c r="C1997" s="59"/>
      <c r="D1997" s="59"/>
      <c r="E1997" s="59"/>
    </row>
    <row r="1998">
      <c r="A1998" s="59"/>
      <c r="B1998" s="59"/>
      <c r="C1998" s="59"/>
      <c r="D1998" s="59"/>
      <c r="E1998" s="59"/>
    </row>
    <row r="1999">
      <c r="A1999" s="4"/>
      <c r="B1999" s="4"/>
      <c r="C1999" s="4"/>
      <c r="D1999" s="4"/>
      <c r="E1999" s="6"/>
    </row>
    <row r="2000">
      <c r="A2000" s="62"/>
      <c r="B2000" s="62"/>
      <c r="C2000" s="62"/>
      <c r="D2000" s="62"/>
      <c r="E2000" s="62"/>
    </row>
    <row r="2001">
      <c r="A2001" s="62"/>
      <c r="B2001" s="62"/>
      <c r="C2001" s="62"/>
      <c r="D2001" s="62"/>
      <c r="E2001" s="62"/>
    </row>
    <row r="2002">
      <c r="A2002" s="62"/>
      <c r="B2002" s="62"/>
      <c r="C2002" s="62"/>
      <c r="D2002" s="62"/>
      <c r="E2002" s="62"/>
    </row>
    <row r="2003">
      <c r="A2003" s="59"/>
      <c r="B2003" s="59"/>
      <c r="C2003" s="59"/>
      <c r="D2003" s="59"/>
      <c r="E2003" s="59"/>
    </row>
    <row r="2004">
      <c r="A2004" s="59"/>
      <c r="B2004" s="59"/>
      <c r="C2004" s="59"/>
      <c r="D2004" s="59"/>
      <c r="E2004" s="59"/>
    </row>
    <row r="2005">
      <c r="A2005" s="59"/>
      <c r="B2005" s="59"/>
      <c r="C2005" s="59"/>
      <c r="D2005" s="59"/>
      <c r="E2005" s="59"/>
    </row>
    <row r="2006">
      <c r="A2006" s="59"/>
      <c r="B2006" s="59"/>
      <c r="C2006" s="59"/>
      <c r="D2006" s="59"/>
      <c r="E2006" s="59"/>
    </row>
    <row r="2007">
      <c r="A2007" s="59"/>
      <c r="B2007" s="59"/>
      <c r="C2007" s="59"/>
      <c r="D2007" s="59"/>
      <c r="E2007" s="59"/>
    </row>
    <row r="2008">
      <c r="A2008" s="59"/>
      <c r="B2008" s="59"/>
      <c r="C2008" s="59"/>
      <c r="D2008" s="59"/>
      <c r="E2008" s="59"/>
    </row>
    <row r="2009">
      <c r="A2009" s="59"/>
      <c r="B2009" s="59"/>
      <c r="C2009" s="59"/>
      <c r="D2009" s="59"/>
      <c r="E2009" s="59"/>
    </row>
    <row r="2010">
      <c r="A2010" s="59"/>
      <c r="B2010" s="59"/>
      <c r="C2010" s="59"/>
      <c r="D2010" s="59"/>
      <c r="E2010" s="59"/>
    </row>
    <row r="2011">
      <c r="A2011" s="59"/>
      <c r="B2011" s="59"/>
      <c r="C2011" s="59"/>
      <c r="D2011" s="59"/>
      <c r="E2011" s="59"/>
    </row>
    <row r="2012">
      <c r="A2012" s="59"/>
      <c r="B2012" s="59"/>
      <c r="C2012" s="59"/>
      <c r="D2012" s="59"/>
      <c r="E2012" s="59"/>
    </row>
    <row r="2013">
      <c r="A2013" s="59"/>
      <c r="B2013" s="59"/>
      <c r="C2013" s="59"/>
      <c r="D2013" s="59"/>
      <c r="E2013" s="59"/>
    </row>
    <row r="2014">
      <c r="A2014" s="4"/>
      <c r="B2014" s="4"/>
      <c r="C2014" s="17"/>
      <c r="D2014" s="4"/>
      <c r="E2014" s="6"/>
    </row>
    <row r="2015">
      <c r="A2015" s="4"/>
      <c r="B2015" s="4"/>
      <c r="C2015" s="4"/>
      <c r="D2015" s="4"/>
      <c r="E2015" s="6"/>
    </row>
    <row r="2016">
      <c r="A2016" s="4"/>
      <c r="B2016" s="4"/>
      <c r="C2016" s="4"/>
      <c r="D2016" s="4"/>
      <c r="E2016" s="6"/>
    </row>
    <row r="2017">
      <c r="A2017" s="59"/>
      <c r="B2017" s="59"/>
      <c r="C2017" s="59"/>
      <c r="D2017" s="59"/>
      <c r="E2017" s="59"/>
    </row>
    <row r="2018">
      <c r="A2018" s="59"/>
      <c r="B2018" s="59"/>
      <c r="C2018" s="59"/>
      <c r="D2018" s="59"/>
      <c r="E2018" s="59"/>
    </row>
    <row r="2019">
      <c r="A2019" s="59"/>
      <c r="B2019" s="59"/>
      <c r="C2019" s="59"/>
      <c r="D2019" s="59"/>
      <c r="E2019" s="59"/>
    </row>
    <row r="2020">
      <c r="A2020" s="59"/>
      <c r="B2020" s="59"/>
      <c r="C2020" s="59"/>
      <c r="D2020" s="59"/>
      <c r="E2020" s="59"/>
    </row>
    <row r="2021">
      <c r="A2021" s="59"/>
      <c r="B2021" s="59"/>
      <c r="C2021" s="59"/>
      <c r="D2021" s="59"/>
      <c r="E2021" s="59"/>
    </row>
    <row r="2022">
      <c r="A2022" s="59"/>
      <c r="B2022" s="59"/>
      <c r="C2022" s="59"/>
      <c r="D2022" s="59"/>
      <c r="E2022" s="59"/>
    </row>
    <row r="2023">
      <c r="A2023" s="59"/>
      <c r="B2023" s="59"/>
      <c r="C2023" s="59"/>
      <c r="D2023" s="59"/>
      <c r="E2023" s="59"/>
    </row>
    <row r="2024">
      <c r="A2024" s="59"/>
      <c r="B2024" s="59"/>
      <c r="C2024" s="59"/>
      <c r="D2024" s="59"/>
      <c r="E2024" s="59"/>
    </row>
    <row r="2025">
      <c r="A2025" s="59"/>
      <c r="B2025" s="59"/>
      <c r="C2025" s="59"/>
      <c r="D2025" s="59"/>
      <c r="E2025" s="59"/>
    </row>
    <row r="2026">
      <c r="A2026" s="59"/>
      <c r="B2026" s="59"/>
      <c r="C2026" s="59"/>
      <c r="D2026" s="59"/>
      <c r="E2026" s="59"/>
    </row>
    <row r="2027">
      <c r="A2027" s="59"/>
      <c r="B2027" s="59"/>
      <c r="C2027" s="59"/>
      <c r="D2027" s="59"/>
      <c r="E2027" s="59"/>
    </row>
    <row r="2028">
      <c r="A2028" s="59"/>
      <c r="B2028" s="59"/>
      <c r="C2028" s="59"/>
      <c r="D2028" s="59"/>
      <c r="E2028" s="59"/>
    </row>
    <row r="2029">
      <c r="A2029" s="59"/>
      <c r="B2029" s="59"/>
      <c r="C2029" s="59"/>
      <c r="D2029" s="59"/>
      <c r="E2029" s="59"/>
    </row>
    <row r="2030">
      <c r="A2030" s="59"/>
      <c r="B2030" s="59"/>
      <c r="C2030" s="59"/>
      <c r="D2030" s="59"/>
      <c r="E2030" s="59"/>
    </row>
    <row r="2031">
      <c r="A2031" s="59"/>
      <c r="B2031" s="59"/>
      <c r="C2031" s="59"/>
      <c r="D2031" s="59"/>
      <c r="E2031" s="59"/>
    </row>
    <row r="2032">
      <c r="A2032" s="59"/>
      <c r="B2032" s="59"/>
      <c r="C2032" s="59"/>
      <c r="D2032" s="59"/>
      <c r="E2032" s="59"/>
    </row>
    <row r="2033">
      <c r="A2033" s="59"/>
      <c r="B2033" s="59"/>
      <c r="C2033" s="59"/>
      <c r="D2033" s="59"/>
      <c r="E2033" s="59"/>
    </row>
    <row r="2034">
      <c r="A2034" s="59"/>
      <c r="B2034" s="59"/>
      <c r="C2034" s="59"/>
      <c r="D2034" s="59"/>
      <c r="E2034" s="59"/>
    </row>
    <row r="2035">
      <c r="A2035" s="59"/>
      <c r="B2035" s="59"/>
      <c r="C2035" s="59"/>
      <c r="D2035" s="59"/>
      <c r="E2035" s="59"/>
    </row>
    <row r="2036">
      <c r="A2036" s="59"/>
      <c r="B2036" s="59"/>
      <c r="C2036" s="59"/>
      <c r="D2036" s="59"/>
      <c r="E2036" s="59"/>
    </row>
    <row r="2037">
      <c r="A2037" s="4"/>
      <c r="B2037" s="4"/>
      <c r="C2037" s="4"/>
      <c r="D2037" s="4"/>
      <c r="E2037" s="6"/>
    </row>
    <row r="2038">
      <c r="A2038" s="4"/>
      <c r="B2038" s="4"/>
      <c r="C2038" s="4"/>
      <c r="D2038" s="4"/>
      <c r="E2038" s="6"/>
    </row>
    <row r="2039">
      <c r="A2039" s="4"/>
      <c r="B2039" s="4"/>
      <c r="C2039" s="4"/>
      <c r="D2039" s="4"/>
      <c r="E2039" s="6"/>
    </row>
    <row r="2040">
      <c r="A2040" s="59"/>
      <c r="B2040" s="59"/>
      <c r="C2040" s="59"/>
      <c r="D2040" s="59"/>
      <c r="E2040" s="59"/>
    </row>
    <row r="2041">
      <c r="A2041" s="59"/>
      <c r="B2041" s="59"/>
      <c r="C2041" s="59"/>
      <c r="D2041" s="59"/>
      <c r="E2041" s="59"/>
    </row>
    <row r="2042">
      <c r="A2042" s="59"/>
      <c r="B2042" s="59"/>
      <c r="C2042" s="59"/>
      <c r="D2042" s="59"/>
      <c r="E2042" s="59"/>
    </row>
    <row r="2043">
      <c r="A2043" s="59"/>
      <c r="B2043" s="59"/>
      <c r="C2043" s="59"/>
      <c r="D2043" s="59"/>
      <c r="E2043" s="59"/>
    </row>
    <row r="2044">
      <c r="A2044" s="59"/>
      <c r="B2044" s="59"/>
      <c r="C2044" s="59"/>
      <c r="D2044" s="59"/>
      <c r="E2044" s="59"/>
    </row>
    <row r="2045">
      <c r="A2045" s="59"/>
      <c r="B2045" s="59"/>
      <c r="C2045" s="59"/>
      <c r="D2045" s="59"/>
      <c r="E2045" s="59"/>
    </row>
    <row r="2046">
      <c r="A2046" s="59"/>
      <c r="B2046" s="59"/>
      <c r="C2046" s="59"/>
      <c r="D2046" s="59"/>
      <c r="E2046" s="59"/>
    </row>
    <row r="2047">
      <c r="A2047" s="59"/>
      <c r="B2047" s="59"/>
      <c r="C2047" s="59"/>
      <c r="D2047" s="59"/>
      <c r="E2047" s="59"/>
    </row>
    <row r="2048">
      <c r="A2048" s="59"/>
      <c r="B2048" s="59"/>
      <c r="C2048" s="59"/>
      <c r="D2048" s="59"/>
      <c r="E2048" s="59"/>
    </row>
    <row r="2049">
      <c r="A2049" s="59"/>
      <c r="B2049" s="59"/>
      <c r="C2049" s="59"/>
      <c r="D2049" s="59"/>
      <c r="E2049" s="59"/>
    </row>
    <row r="2050">
      <c r="A2050" s="59"/>
      <c r="B2050" s="59"/>
      <c r="C2050" s="59"/>
      <c r="D2050" s="59"/>
      <c r="E2050" s="59"/>
    </row>
    <row r="2051">
      <c r="A2051" s="59"/>
      <c r="B2051" s="59"/>
      <c r="C2051" s="59"/>
      <c r="D2051" s="59"/>
      <c r="E2051" s="59"/>
    </row>
    <row r="2052">
      <c r="A2052" s="59"/>
      <c r="B2052" s="59"/>
      <c r="C2052" s="59"/>
      <c r="D2052" s="59"/>
      <c r="E2052" s="59"/>
    </row>
    <row r="2053">
      <c r="A2053" s="59"/>
      <c r="B2053" s="59"/>
      <c r="C2053" s="59"/>
      <c r="D2053" s="59"/>
      <c r="E2053" s="59"/>
    </row>
    <row r="2054">
      <c r="A2054" s="59"/>
      <c r="B2054" s="59"/>
      <c r="C2054" s="59"/>
      <c r="D2054" s="59"/>
      <c r="E2054" s="59"/>
    </row>
    <row r="2055">
      <c r="A2055" s="59"/>
      <c r="B2055" s="59"/>
      <c r="C2055" s="59"/>
      <c r="D2055" s="59"/>
      <c r="E2055" s="59"/>
    </row>
    <row r="2056">
      <c r="A2056" s="59"/>
      <c r="B2056" s="59"/>
      <c r="C2056" s="59"/>
      <c r="D2056" s="59"/>
      <c r="E2056" s="59"/>
    </row>
    <row r="2057">
      <c r="A2057" s="59"/>
      <c r="B2057" s="59"/>
      <c r="C2057" s="59"/>
      <c r="D2057" s="59"/>
      <c r="E2057" s="59"/>
    </row>
    <row r="2058">
      <c r="A2058" s="59"/>
      <c r="B2058" s="59"/>
      <c r="C2058" s="59"/>
      <c r="D2058" s="59"/>
      <c r="E2058" s="59"/>
    </row>
    <row r="2059">
      <c r="A2059" s="59"/>
      <c r="B2059" s="59"/>
      <c r="C2059" s="59"/>
      <c r="D2059" s="59"/>
      <c r="E2059" s="59"/>
    </row>
    <row r="2060">
      <c r="A2060" s="59"/>
      <c r="B2060" s="59"/>
      <c r="C2060" s="59"/>
      <c r="D2060" s="59"/>
      <c r="E2060" s="59"/>
    </row>
    <row r="2061">
      <c r="A2061" s="59"/>
      <c r="B2061" s="59"/>
      <c r="C2061" s="59"/>
      <c r="D2061" s="59"/>
      <c r="E2061" s="59"/>
    </row>
    <row r="2062">
      <c r="A2062" s="59"/>
      <c r="B2062" s="59"/>
      <c r="C2062" s="59"/>
      <c r="D2062" s="59"/>
      <c r="E2062" s="59"/>
    </row>
    <row r="2063">
      <c r="A2063" s="59"/>
      <c r="B2063" s="59"/>
      <c r="C2063" s="59"/>
      <c r="D2063" s="59"/>
      <c r="E2063" s="59"/>
    </row>
    <row r="2064">
      <c r="A2064" s="59"/>
      <c r="B2064" s="59"/>
      <c r="C2064" s="59"/>
      <c r="D2064" s="59"/>
      <c r="E2064" s="59"/>
    </row>
    <row r="2065">
      <c r="A2065" s="59"/>
      <c r="B2065" s="59"/>
      <c r="C2065" s="59"/>
      <c r="D2065" s="59"/>
      <c r="E2065" s="59"/>
    </row>
    <row r="2066">
      <c r="A2066" s="59"/>
      <c r="B2066" s="59"/>
      <c r="C2066" s="59"/>
      <c r="D2066" s="59"/>
      <c r="E2066" s="59"/>
    </row>
    <row r="2067">
      <c r="A2067" s="59"/>
      <c r="B2067" s="59"/>
      <c r="C2067" s="59"/>
      <c r="D2067" s="59"/>
      <c r="E2067" s="59"/>
    </row>
    <row r="2068">
      <c r="A2068" s="59"/>
      <c r="B2068" s="59"/>
      <c r="C2068" s="59"/>
      <c r="D2068" s="59"/>
      <c r="E2068" s="59"/>
    </row>
    <row r="2069">
      <c r="A2069" s="59"/>
      <c r="B2069" s="59"/>
      <c r="C2069" s="59"/>
      <c r="D2069" s="59"/>
      <c r="E2069" s="59"/>
    </row>
    <row r="2070">
      <c r="A2070" s="59"/>
      <c r="B2070" s="59"/>
      <c r="C2070" s="59"/>
      <c r="D2070" s="59"/>
      <c r="E2070" s="59"/>
    </row>
    <row r="2071">
      <c r="A2071" s="59"/>
      <c r="B2071" s="59"/>
      <c r="C2071" s="59"/>
      <c r="D2071" s="59"/>
      <c r="E2071" s="59"/>
    </row>
    <row r="2072">
      <c r="A2072" s="59"/>
      <c r="B2072" s="59"/>
      <c r="C2072" s="59"/>
      <c r="D2072" s="59"/>
      <c r="E2072" s="59"/>
    </row>
    <row r="2073">
      <c r="A2073" s="59"/>
      <c r="B2073" s="59"/>
      <c r="C2073" s="59"/>
      <c r="D2073" s="59"/>
      <c r="E2073" s="59"/>
    </row>
    <row r="2074">
      <c r="A2074" s="59"/>
      <c r="B2074" s="59"/>
      <c r="C2074" s="59"/>
      <c r="D2074" s="59"/>
      <c r="E2074" s="59"/>
    </row>
    <row r="2075">
      <c r="A2075" s="59"/>
      <c r="B2075" s="59"/>
      <c r="C2075" s="59"/>
      <c r="D2075" s="59"/>
      <c r="E2075" s="59"/>
    </row>
    <row r="2076">
      <c r="A2076" s="59"/>
      <c r="B2076" s="59"/>
      <c r="C2076" s="59"/>
      <c r="D2076" s="59"/>
      <c r="E2076" s="59"/>
    </row>
    <row r="2077">
      <c r="A2077" s="59"/>
      <c r="B2077" s="59"/>
      <c r="C2077" s="59"/>
      <c r="D2077" s="59"/>
      <c r="E2077" s="59"/>
    </row>
    <row r="2078">
      <c r="A2078" s="59"/>
      <c r="B2078" s="59"/>
      <c r="C2078" s="59"/>
      <c r="D2078" s="59"/>
      <c r="E2078" s="59"/>
    </row>
    <row r="2079">
      <c r="A2079" s="59"/>
      <c r="B2079" s="59"/>
      <c r="C2079" s="59"/>
      <c r="D2079" s="59"/>
      <c r="E2079" s="59"/>
    </row>
    <row r="2080">
      <c r="A2080" s="59"/>
      <c r="B2080" s="59"/>
      <c r="C2080" s="59"/>
      <c r="D2080" s="59"/>
      <c r="E2080" s="59"/>
    </row>
    <row r="2081">
      <c r="A2081" s="59"/>
      <c r="B2081" s="59"/>
      <c r="C2081" s="59"/>
      <c r="D2081" s="59"/>
      <c r="E2081" s="59"/>
    </row>
    <row r="2082">
      <c r="A2082" s="59"/>
      <c r="B2082" s="59"/>
      <c r="C2082" s="59"/>
      <c r="D2082" s="59"/>
      <c r="E2082" s="59"/>
    </row>
    <row r="2083">
      <c r="A2083" s="59"/>
      <c r="B2083" s="59"/>
      <c r="C2083" s="59"/>
      <c r="D2083" s="59"/>
      <c r="E2083" s="59"/>
    </row>
    <row r="2084">
      <c r="A2084" s="59"/>
      <c r="B2084" s="59"/>
      <c r="C2084" s="59"/>
      <c r="D2084" s="59"/>
      <c r="E2084" s="59"/>
    </row>
    <row r="2085">
      <c r="A2085" s="59"/>
      <c r="B2085" s="59"/>
      <c r="C2085" s="59"/>
      <c r="D2085" s="59"/>
      <c r="E2085" s="59"/>
    </row>
    <row r="2086">
      <c r="A2086" s="59"/>
      <c r="B2086" s="59"/>
      <c r="C2086" s="59"/>
      <c r="D2086" s="59"/>
      <c r="E2086" s="59"/>
    </row>
    <row r="2087">
      <c r="A2087" s="59"/>
      <c r="B2087" s="59"/>
      <c r="C2087" s="59"/>
      <c r="D2087" s="59"/>
      <c r="E2087" s="59"/>
    </row>
    <row r="2088">
      <c r="A2088" s="59"/>
      <c r="B2088" s="59"/>
      <c r="C2088" s="59"/>
      <c r="D2088" s="59"/>
      <c r="E2088" s="59"/>
    </row>
    <row r="2089">
      <c r="A2089" s="59"/>
      <c r="B2089" s="59"/>
      <c r="C2089" s="59"/>
      <c r="D2089" s="59"/>
      <c r="E2089" s="59"/>
    </row>
    <row r="2090">
      <c r="A2090" s="59"/>
      <c r="B2090" s="59"/>
      <c r="C2090" s="59"/>
      <c r="D2090" s="59"/>
      <c r="E2090" s="59"/>
    </row>
    <row r="2091">
      <c r="A2091" s="59"/>
      <c r="B2091" s="59"/>
      <c r="C2091" s="59"/>
      <c r="D2091" s="59"/>
      <c r="E2091" s="59"/>
    </row>
    <row r="2092">
      <c r="A2092" s="59"/>
      <c r="B2092" s="59"/>
      <c r="C2092" s="59"/>
      <c r="D2092" s="59"/>
      <c r="E2092" s="59"/>
    </row>
    <row r="2093">
      <c r="A2093" s="59"/>
      <c r="B2093" s="59"/>
      <c r="C2093" s="59"/>
      <c r="D2093" s="59"/>
      <c r="E2093" s="59"/>
    </row>
    <row r="2094">
      <c r="A2094" s="59"/>
      <c r="B2094" s="59"/>
      <c r="C2094" s="59"/>
      <c r="D2094" s="59"/>
      <c r="E2094" s="59"/>
    </row>
    <row r="2095">
      <c r="A2095" s="59"/>
      <c r="B2095" s="59"/>
      <c r="C2095" s="59"/>
      <c r="D2095" s="59"/>
      <c r="E2095" s="59"/>
    </row>
    <row r="2096">
      <c r="A2096" s="59"/>
      <c r="B2096" s="59"/>
      <c r="C2096" s="59"/>
      <c r="D2096" s="59"/>
      <c r="E2096" s="59"/>
    </row>
    <row r="2097">
      <c r="A2097" s="59"/>
      <c r="B2097" s="59"/>
      <c r="C2097" s="59"/>
      <c r="D2097" s="59"/>
      <c r="E2097" s="59"/>
    </row>
    <row r="2098">
      <c r="A2098" s="59"/>
      <c r="B2098" s="59"/>
      <c r="C2098" s="59"/>
      <c r="D2098" s="59"/>
      <c r="E2098" s="59"/>
    </row>
    <row r="2099">
      <c r="A2099" s="59"/>
      <c r="B2099" s="59"/>
      <c r="C2099" s="59"/>
      <c r="D2099" s="59"/>
      <c r="E2099" s="59"/>
    </row>
    <row r="2100">
      <c r="A2100" s="59"/>
      <c r="B2100" s="59"/>
      <c r="C2100" s="59"/>
      <c r="D2100" s="59"/>
      <c r="E2100" s="59"/>
    </row>
    <row r="2101">
      <c r="A2101" s="59"/>
      <c r="B2101" s="59"/>
      <c r="C2101" s="59"/>
      <c r="D2101" s="59"/>
      <c r="E2101" s="59"/>
    </row>
    <row r="2102">
      <c r="A2102" s="59"/>
      <c r="B2102" s="59"/>
      <c r="C2102" s="59"/>
      <c r="D2102" s="59"/>
      <c r="E2102" s="59"/>
    </row>
    <row r="2103">
      <c r="A2103" s="59"/>
      <c r="B2103" s="59"/>
      <c r="C2103" s="59"/>
      <c r="D2103" s="59"/>
      <c r="E2103" s="59"/>
    </row>
    <row r="2104">
      <c r="A2104" s="59"/>
      <c r="B2104" s="59"/>
      <c r="C2104" s="59"/>
      <c r="D2104" s="59"/>
      <c r="E2104" s="59"/>
    </row>
    <row r="2105">
      <c r="A2105" s="59"/>
      <c r="B2105" s="59"/>
      <c r="C2105" s="59"/>
      <c r="D2105" s="59"/>
      <c r="E2105" s="59"/>
    </row>
    <row r="2106">
      <c r="A2106" s="59"/>
      <c r="B2106" s="59"/>
      <c r="C2106" s="59"/>
      <c r="D2106" s="59"/>
      <c r="E2106" s="59"/>
    </row>
    <row r="2107">
      <c r="A2107" s="59"/>
      <c r="B2107" s="59"/>
      <c r="C2107" s="59"/>
      <c r="D2107" s="59"/>
      <c r="E2107" s="59"/>
    </row>
    <row r="2108">
      <c r="A2108" s="59"/>
      <c r="B2108" s="59"/>
      <c r="C2108" s="59"/>
      <c r="D2108" s="59"/>
      <c r="E2108" s="59"/>
    </row>
    <row r="2109">
      <c r="A2109" s="59"/>
      <c r="B2109" s="59"/>
      <c r="C2109" s="59"/>
      <c r="D2109" s="59"/>
      <c r="E2109" s="59"/>
    </row>
    <row r="2110">
      <c r="A2110" s="59"/>
      <c r="B2110" s="59"/>
      <c r="C2110" s="59"/>
      <c r="D2110" s="59"/>
      <c r="E2110" s="59"/>
    </row>
    <row r="2111">
      <c r="A2111" s="59"/>
      <c r="B2111" s="59"/>
      <c r="C2111" s="59"/>
      <c r="D2111" s="59"/>
      <c r="E2111" s="59"/>
    </row>
    <row r="2112">
      <c r="A2112" s="59"/>
      <c r="B2112" s="59"/>
      <c r="C2112" s="59"/>
      <c r="D2112" s="59"/>
      <c r="E2112" s="59"/>
    </row>
    <row r="2113">
      <c r="A2113" s="59"/>
      <c r="B2113" s="59"/>
      <c r="C2113" s="59"/>
      <c r="D2113" s="59"/>
      <c r="E2113" s="59"/>
    </row>
    <row r="2114">
      <c r="A2114" s="4"/>
      <c r="B2114" s="4"/>
      <c r="C2114" s="4"/>
      <c r="D2114" s="4"/>
      <c r="E2114" s="6"/>
    </row>
    <row r="2115">
      <c r="A2115" s="59"/>
      <c r="B2115" s="59"/>
      <c r="C2115" s="59"/>
      <c r="D2115" s="59"/>
      <c r="E2115" s="59"/>
    </row>
    <row r="2116">
      <c r="A2116" s="59"/>
      <c r="B2116" s="59"/>
      <c r="C2116" s="59"/>
      <c r="D2116" s="59"/>
      <c r="E2116" s="59"/>
    </row>
    <row r="2117">
      <c r="A2117" s="59"/>
      <c r="B2117" s="59"/>
      <c r="C2117" s="59"/>
      <c r="D2117" s="59"/>
      <c r="E2117" s="59"/>
    </row>
    <row r="2118">
      <c r="A2118" s="59"/>
      <c r="B2118" s="59"/>
      <c r="C2118" s="59"/>
      <c r="D2118" s="59"/>
      <c r="E2118" s="59"/>
    </row>
    <row r="2119">
      <c r="A2119" s="59"/>
      <c r="B2119" s="59"/>
      <c r="C2119" s="59"/>
      <c r="D2119" s="59"/>
      <c r="E2119" s="59"/>
    </row>
    <row r="2120">
      <c r="A2120" s="59"/>
      <c r="B2120" s="59"/>
      <c r="C2120" s="59"/>
      <c r="D2120" s="59"/>
      <c r="E2120" s="59"/>
    </row>
    <row r="2121">
      <c r="A2121" s="59"/>
      <c r="B2121" s="59"/>
      <c r="C2121" s="59"/>
      <c r="D2121" s="59"/>
      <c r="E2121" s="59"/>
    </row>
    <row r="2122">
      <c r="A2122" s="59"/>
      <c r="B2122" s="59"/>
      <c r="C2122" s="59"/>
      <c r="D2122" s="59"/>
      <c r="E2122" s="59"/>
    </row>
    <row r="2123">
      <c r="A2123" s="59"/>
      <c r="B2123" s="59"/>
      <c r="C2123" s="59"/>
      <c r="D2123" s="59"/>
      <c r="E2123" s="59"/>
    </row>
    <row r="2124">
      <c r="A2124" s="59"/>
      <c r="B2124" s="59"/>
      <c r="C2124" s="59"/>
      <c r="D2124" s="59"/>
      <c r="E2124" s="59"/>
    </row>
    <row r="2125">
      <c r="A2125" s="59"/>
      <c r="B2125" s="59"/>
      <c r="C2125" s="59"/>
      <c r="D2125" s="59"/>
      <c r="E2125" s="59"/>
    </row>
    <row r="2126">
      <c r="A2126" s="59"/>
      <c r="B2126" s="59"/>
      <c r="C2126" s="59"/>
      <c r="D2126" s="59"/>
      <c r="E2126" s="59"/>
    </row>
    <row r="2127">
      <c r="A2127" s="59"/>
      <c r="B2127" s="59"/>
      <c r="C2127" s="59"/>
      <c r="D2127" s="59"/>
      <c r="E2127" s="59"/>
    </row>
    <row r="2128">
      <c r="A2128" s="59"/>
      <c r="B2128" s="59"/>
      <c r="C2128" s="59"/>
      <c r="D2128" s="59"/>
      <c r="E2128" s="59"/>
    </row>
    <row r="2129">
      <c r="A2129" s="59"/>
      <c r="B2129" s="59"/>
      <c r="C2129" s="59"/>
      <c r="D2129" s="59"/>
      <c r="E2129" s="59"/>
    </row>
    <row r="2130">
      <c r="A2130" s="59"/>
      <c r="B2130" s="59"/>
      <c r="C2130" s="59"/>
      <c r="D2130" s="59"/>
      <c r="E2130" s="59"/>
    </row>
    <row r="2131">
      <c r="A2131" s="59"/>
      <c r="B2131" s="59"/>
      <c r="C2131" s="59"/>
      <c r="D2131" s="59"/>
      <c r="E2131" s="59"/>
    </row>
    <row r="2132">
      <c r="A2132" s="59"/>
      <c r="B2132" s="59"/>
      <c r="C2132" s="59"/>
      <c r="D2132" s="59"/>
      <c r="E2132" s="59"/>
    </row>
    <row r="2133">
      <c r="A2133" s="59"/>
      <c r="B2133" s="59"/>
      <c r="C2133" s="59"/>
      <c r="D2133" s="59"/>
      <c r="E2133" s="59"/>
    </row>
    <row r="2134">
      <c r="A2134" s="59"/>
      <c r="B2134" s="59"/>
      <c r="C2134" s="59"/>
      <c r="D2134" s="59"/>
      <c r="E2134" s="59"/>
    </row>
    <row r="2135">
      <c r="A2135" s="59"/>
      <c r="B2135" s="59"/>
      <c r="C2135" s="59"/>
      <c r="D2135" s="59"/>
      <c r="E2135" s="59"/>
    </row>
    <row r="2136">
      <c r="A2136" s="59"/>
      <c r="B2136" s="59"/>
      <c r="C2136" s="59"/>
      <c r="D2136" s="59"/>
      <c r="E2136" s="59"/>
    </row>
    <row r="2137">
      <c r="A2137" s="59"/>
      <c r="B2137" s="59"/>
      <c r="C2137" s="59"/>
      <c r="D2137" s="59"/>
      <c r="E2137" s="59"/>
    </row>
    <row r="2138">
      <c r="A2138" s="59"/>
      <c r="B2138" s="59"/>
      <c r="C2138" s="59"/>
      <c r="D2138" s="59"/>
      <c r="E2138" s="59"/>
    </row>
    <row r="2139">
      <c r="A2139" s="59"/>
      <c r="B2139" s="59"/>
      <c r="C2139" s="59"/>
      <c r="D2139" s="59"/>
      <c r="E2139" s="59"/>
    </row>
    <row r="2140">
      <c r="A2140" s="59"/>
      <c r="B2140" s="59"/>
      <c r="C2140" s="59"/>
      <c r="D2140" s="59"/>
      <c r="E2140" s="59"/>
    </row>
    <row r="2141">
      <c r="A2141" s="59"/>
      <c r="B2141" s="59"/>
      <c r="C2141" s="59"/>
      <c r="D2141" s="59"/>
      <c r="E2141" s="59"/>
    </row>
    <row r="2142">
      <c r="A2142" s="59"/>
      <c r="B2142" s="59"/>
      <c r="C2142" s="59"/>
      <c r="D2142" s="59"/>
      <c r="E2142" s="59"/>
    </row>
    <row r="2143">
      <c r="A2143" s="59"/>
      <c r="B2143" s="59"/>
      <c r="C2143" s="59"/>
      <c r="D2143" s="59"/>
      <c r="E2143" s="59"/>
    </row>
    <row r="2144">
      <c r="A2144" s="59"/>
      <c r="B2144" s="59"/>
      <c r="C2144" s="59"/>
      <c r="D2144" s="59"/>
      <c r="E2144" s="59"/>
    </row>
    <row r="2145">
      <c r="A2145" s="59"/>
      <c r="B2145" s="59"/>
      <c r="C2145" s="59"/>
      <c r="D2145" s="59"/>
      <c r="E2145" s="59"/>
    </row>
    <row r="2146">
      <c r="A2146" s="59"/>
      <c r="B2146" s="59"/>
      <c r="C2146" s="59"/>
      <c r="D2146" s="59"/>
      <c r="E2146" s="59"/>
    </row>
    <row r="2147">
      <c r="A2147" s="59"/>
      <c r="B2147" s="59"/>
      <c r="C2147" s="59"/>
      <c r="D2147" s="59"/>
      <c r="E2147" s="59"/>
    </row>
    <row r="2148">
      <c r="A2148" s="59"/>
      <c r="B2148" s="59"/>
      <c r="C2148" s="59"/>
      <c r="D2148" s="59"/>
      <c r="E2148" s="59"/>
    </row>
    <row r="2149">
      <c r="A2149" s="59"/>
      <c r="B2149" s="59"/>
      <c r="C2149" s="59"/>
      <c r="D2149" s="59"/>
      <c r="E2149" s="59"/>
    </row>
    <row r="2150">
      <c r="A2150" s="59"/>
      <c r="B2150" s="59"/>
      <c r="C2150" s="59"/>
      <c r="D2150" s="59"/>
      <c r="E2150" s="59"/>
    </row>
    <row r="2151">
      <c r="A2151" s="59"/>
      <c r="B2151" s="59"/>
      <c r="C2151" s="59"/>
      <c r="D2151" s="59"/>
      <c r="E2151" s="59"/>
    </row>
    <row r="2152">
      <c r="A2152" s="59"/>
      <c r="B2152" s="59"/>
      <c r="C2152" s="59"/>
      <c r="D2152" s="59"/>
      <c r="E2152" s="59"/>
    </row>
    <row r="2153">
      <c r="A2153" s="59"/>
      <c r="B2153" s="59"/>
      <c r="C2153" s="59"/>
      <c r="D2153" s="59"/>
      <c r="E2153" s="59"/>
    </row>
    <row r="2154">
      <c r="A2154" s="59"/>
      <c r="B2154" s="59"/>
      <c r="C2154" s="59"/>
      <c r="D2154" s="59"/>
      <c r="E2154" s="59"/>
    </row>
    <row r="2155">
      <c r="A2155" s="59"/>
      <c r="B2155" s="59"/>
      <c r="C2155" s="59"/>
      <c r="D2155" s="59"/>
      <c r="E2155" s="59"/>
    </row>
    <row r="2156">
      <c r="A2156" s="59"/>
      <c r="B2156" s="59"/>
      <c r="C2156" s="59"/>
      <c r="D2156" s="59"/>
      <c r="E2156" s="59"/>
    </row>
    <row r="2157">
      <c r="A2157" s="59"/>
      <c r="B2157" s="59"/>
      <c r="C2157" s="59"/>
      <c r="D2157" s="59"/>
      <c r="E2157" s="59"/>
    </row>
    <row r="2158">
      <c r="A2158" s="59"/>
      <c r="B2158" s="59"/>
      <c r="C2158" s="59"/>
      <c r="D2158" s="59"/>
      <c r="E2158" s="59"/>
    </row>
    <row r="2159">
      <c r="A2159" s="59"/>
      <c r="B2159" s="59"/>
      <c r="C2159" s="59"/>
      <c r="D2159" s="59"/>
      <c r="E2159" s="59"/>
    </row>
    <row r="2160">
      <c r="A2160" s="59"/>
      <c r="B2160" s="59"/>
      <c r="C2160" s="59"/>
      <c r="D2160" s="59"/>
      <c r="E2160" s="59"/>
    </row>
    <row r="2161">
      <c r="A2161" s="59"/>
      <c r="B2161" s="59"/>
      <c r="C2161" s="59"/>
      <c r="D2161" s="59"/>
      <c r="E2161" s="59"/>
    </row>
    <row r="2162">
      <c r="A2162" s="59"/>
      <c r="B2162" s="59"/>
      <c r="C2162" s="59"/>
      <c r="D2162" s="59"/>
      <c r="E2162" s="59"/>
    </row>
    <row r="2163">
      <c r="A2163" s="59"/>
      <c r="B2163" s="59"/>
      <c r="C2163" s="59"/>
      <c r="D2163" s="59"/>
      <c r="E2163" s="59"/>
    </row>
    <row r="2164">
      <c r="A2164" s="59"/>
      <c r="B2164" s="59"/>
      <c r="C2164" s="59"/>
      <c r="D2164" s="59"/>
      <c r="E2164" s="59"/>
    </row>
    <row r="2165">
      <c r="A2165" s="59"/>
      <c r="B2165" s="59"/>
      <c r="C2165" s="59"/>
      <c r="D2165" s="59"/>
      <c r="E2165" s="59"/>
    </row>
    <row r="2166">
      <c r="A2166" s="59"/>
      <c r="B2166" s="59"/>
      <c r="C2166" s="59"/>
      <c r="D2166" s="59"/>
      <c r="E2166" s="59"/>
    </row>
    <row r="2167">
      <c r="A2167" s="59"/>
      <c r="B2167" s="59"/>
      <c r="C2167" s="59"/>
      <c r="D2167" s="59"/>
      <c r="E2167" s="59"/>
    </row>
    <row r="2168">
      <c r="A2168" s="59"/>
      <c r="B2168" s="59"/>
      <c r="C2168" s="59"/>
      <c r="D2168" s="59"/>
      <c r="E2168" s="59"/>
    </row>
    <row r="2169">
      <c r="A2169" s="59"/>
      <c r="B2169" s="59"/>
      <c r="C2169" s="59"/>
      <c r="D2169" s="59"/>
      <c r="E2169" s="59"/>
    </row>
    <row r="2170">
      <c r="A2170" s="59"/>
      <c r="B2170" s="59"/>
      <c r="C2170" s="59"/>
      <c r="D2170" s="59"/>
      <c r="E2170" s="59"/>
    </row>
    <row r="2171">
      <c r="A2171" s="59"/>
      <c r="B2171" s="59"/>
      <c r="C2171" s="59"/>
      <c r="D2171" s="59"/>
      <c r="E2171" s="59"/>
    </row>
    <row r="2172">
      <c r="A2172" s="59"/>
      <c r="B2172" s="59"/>
      <c r="C2172" s="59"/>
      <c r="D2172" s="59"/>
      <c r="E2172" s="59"/>
    </row>
    <row r="2173">
      <c r="A2173" s="59"/>
      <c r="B2173" s="59"/>
      <c r="C2173" s="59"/>
      <c r="D2173" s="59"/>
      <c r="E2173" s="59"/>
    </row>
    <row r="2174">
      <c r="A2174" s="59"/>
      <c r="B2174" s="59"/>
      <c r="C2174" s="59"/>
      <c r="D2174" s="59"/>
      <c r="E2174" s="59"/>
    </row>
    <row r="2175">
      <c r="A2175" s="59"/>
      <c r="B2175" s="59"/>
      <c r="C2175" s="59"/>
      <c r="D2175" s="59"/>
      <c r="E2175" s="59"/>
    </row>
    <row r="2176">
      <c r="A2176" s="59"/>
      <c r="B2176" s="59"/>
      <c r="C2176" s="59"/>
      <c r="D2176" s="59"/>
      <c r="E2176" s="59"/>
    </row>
    <row r="2177">
      <c r="A2177" s="59"/>
      <c r="B2177" s="59"/>
      <c r="C2177" s="59"/>
      <c r="D2177" s="59"/>
      <c r="E2177" s="59"/>
    </row>
    <row r="2178">
      <c r="A2178" s="4"/>
      <c r="B2178" s="4"/>
      <c r="C2178" s="4"/>
      <c r="D2178" s="4"/>
      <c r="E2178" s="6"/>
    </row>
    <row r="2179">
      <c r="A2179" s="4"/>
      <c r="B2179" s="4"/>
      <c r="C2179" s="4"/>
      <c r="D2179" s="4"/>
      <c r="E2179" s="6"/>
    </row>
    <row r="2180">
      <c r="A2180" s="4"/>
      <c r="B2180" s="4"/>
      <c r="C2180" s="4"/>
      <c r="D2180" s="4"/>
      <c r="E2180" s="6"/>
    </row>
    <row r="2181">
      <c r="A2181" s="62"/>
      <c r="B2181" s="62"/>
      <c r="C2181" s="62"/>
      <c r="D2181" s="62"/>
      <c r="E2181" s="62"/>
    </row>
    <row r="2182">
      <c r="A2182" s="62"/>
      <c r="B2182" s="62"/>
      <c r="C2182" s="62"/>
      <c r="D2182" s="62"/>
      <c r="E2182" s="62"/>
    </row>
    <row r="2183">
      <c r="A2183" s="62"/>
      <c r="B2183" s="62"/>
      <c r="C2183" s="62"/>
      <c r="D2183" s="62"/>
      <c r="E2183" s="62"/>
    </row>
    <row r="2184">
      <c r="A2184" s="62"/>
      <c r="B2184" s="62"/>
      <c r="C2184" s="62"/>
      <c r="D2184" s="62"/>
      <c r="E2184" s="62"/>
    </row>
    <row r="2185">
      <c r="A2185" s="62"/>
      <c r="B2185" s="62"/>
      <c r="C2185" s="62"/>
      <c r="D2185" s="62"/>
      <c r="E2185" s="62"/>
    </row>
    <row r="2186">
      <c r="A2186" s="62"/>
      <c r="B2186" s="62"/>
      <c r="C2186" s="62"/>
      <c r="D2186" s="62"/>
      <c r="E2186" s="62"/>
    </row>
    <row r="2187">
      <c r="A2187" s="59"/>
      <c r="B2187" s="59"/>
      <c r="C2187" s="59"/>
      <c r="D2187" s="59"/>
      <c r="E2187" s="59"/>
    </row>
    <row r="2188">
      <c r="A2188" s="59"/>
      <c r="B2188" s="59"/>
      <c r="C2188" s="59"/>
      <c r="D2188" s="59"/>
      <c r="E2188" s="59"/>
    </row>
    <row r="2189">
      <c r="A2189" s="59"/>
      <c r="B2189" s="59"/>
      <c r="C2189" s="59"/>
      <c r="D2189" s="59"/>
      <c r="E2189" s="59"/>
    </row>
    <row r="2190">
      <c r="A2190" s="59"/>
      <c r="B2190" s="59"/>
      <c r="C2190" s="59"/>
      <c r="D2190" s="59"/>
      <c r="E2190" s="59"/>
    </row>
    <row r="2191">
      <c r="A2191" s="59"/>
      <c r="B2191" s="59"/>
      <c r="C2191" s="59"/>
      <c r="D2191" s="59"/>
      <c r="E2191" s="59"/>
    </row>
    <row r="2192">
      <c r="A2192" s="59"/>
      <c r="B2192" s="59"/>
      <c r="C2192" s="59"/>
      <c r="D2192" s="59"/>
      <c r="E2192" s="59"/>
    </row>
    <row r="2193">
      <c r="A2193" s="59"/>
      <c r="B2193" s="59"/>
      <c r="C2193" s="59"/>
      <c r="D2193" s="59"/>
      <c r="E2193" s="59"/>
    </row>
    <row r="2194">
      <c r="A2194" s="59"/>
      <c r="B2194" s="59"/>
      <c r="C2194" s="59"/>
      <c r="D2194" s="59"/>
      <c r="E2194" s="59"/>
    </row>
    <row r="2195">
      <c r="A2195" s="59"/>
      <c r="B2195" s="59"/>
      <c r="C2195" s="59"/>
      <c r="D2195" s="59"/>
      <c r="E2195" s="59"/>
    </row>
    <row r="2196">
      <c r="A2196" s="59"/>
      <c r="B2196" s="59"/>
      <c r="C2196" s="59"/>
      <c r="D2196" s="59"/>
      <c r="E2196" s="59"/>
    </row>
    <row r="2197">
      <c r="A2197" s="59"/>
      <c r="B2197" s="59"/>
      <c r="C2197" s="59"/>
      <c r="D2197" s="59"/>
      <c r="E2197" s="59"/>
    </row>
    <row r="2198">
      <c r="A2198" s="59"/>
      <c r="B2198" s="59"/>
      <c r="C2198" s="59"/>
      <c r="D2198" s="59"/>
      <c r="E2198" s="59"/>
    </row>
    <row r="2199">
      <c r="A2199" s="59"/>
      <c r="B2199" s="59"/>
      <c r="C2199" s="59"/>
      <c r="D2199" s="59"/>
      <c r="E2199" s="59"/>
    </row>
    <row r="2200">
      <c r="A2200" s="59"/>
      <c r="B2200" s="59"/>
      <c r="C2200" s="59"/>
      <c r="D2200" s="59"/>
      <c r="E2200" s="59"/>
    </row>
    <row r="2201">
      <c r="A2201" s="59"/>
      <c r="B2201" s="59"/>
      <c r="C2201" s="59"/>
      <c r="D2201" s="59"/>
      <c r="E2201" s="59"/>
    </row>
    <row r="2202">
      <c r="A2202" s="59"/>
      <c r="B2202" s="59"/>
      <c r="C2202" s="59"/>
      <c r="D2202" s="59"/>
      <c r="E2202" s="59"/>
    </row>
    <row r="2203">
      <c r="A2203" s="59"/>
      <c r="B2203" s="59"/>
      <c r="C2203" s="59"/>
      <c r="D2203" s="59"/>
      <c r="E2203" s="59"/>
    </row>
    <row r="2204">
      <c r="A2204" s="59"/>
      <c r="B2204" s="59"/>
      <c r="C2204" s="59"/>
      <c r="D2204" s="59"/>
      <c r="E2204" s="59"/>
    </row>
    <row r="2205">
      <c r="A2205" s="59"/>
      <c r="B2205" s="59"/>
      <c r="C2205" s="59"/>
      <c r="D2205" s="59"/>
      <c r="E2205" s="59"/>
    </row>
    <row r="2206">
      <c r="A2206" s="59"/>
      <c r="B2206" s="59"/>
      <c r="C2206" s="59"/>
      <c r="D2206" s="59"/>
      <c r="E2206" s="59"/>
    </row>
    <row r="2207">
      <c r="A2207" s="59"/>
      <c r="B2207" s="59"/>
      <c r="C2207" s="59"/>
      <c r="D2207" s="59"/>
      <c r="E2207" s="59"/>
    </row>
    <row r="2208">
      <c r="A2208" s="59"/>
      <c r="B2208" s="59"/>
      <c r="C2208" s="59"/>
      <c r="D2208" s="59"/>
      <c r="E2208" s="59"/>
    </row>
    <row r="2209">
      <c r="A2209" s="59"/>
      <c r="B2209" s="59"/>
      <c r="C2209" s="59"/>
      <c r="D2209" s="59"/>
      <c r="E2209" s="59"/>
    </row>
    <row r="2210">
      <c r="A2210" s="59"/>
      <c r="B2210" s="59"/>
      <c r="C2210" s="59"/>
      <c r="D2210" s="59"/>
      <c r="E2210" s="59"/>
    </row>
    <row r="2211">
      <c r="A2211" s="59"/>
      <c r="B2211" s="59"/>
      <c r="C2211" s="59"/>
      <c r="D2211" s="59"/>
      <c r="E2211" s="59"/>
    </row>
    <row r="2212">
      <c r="A2212" s="59"/>
      <c r="B2212" s="59"/>
      <c r="C2212" s="59"/>
      <c r="D2212" s="59"/>
      <c r="E2212" s="59"/>
    </row>
    <row r="2213">
      <c r="A2213" s="59"/>
      <c r="B2213" s="59"/>
      <c r="C2213" s="59"/>
      <c r="D2213" s="59"/>
      <c r="E2213" s="59"/>
    </row>
    <row r="2214">
      <c r="A2214" s="59"/>
      <c r="B2214" s="59"/>
      <c r="C2214" s="59"/>
      <c r="D2214" s="59"/>
      <c r="E2214" s="59"/>
    </row>
    <row r="2215">
      <c r="A2215" s="59"/>
      <c r="B2215" s="59"/>
      <c r="C2215" s="59"/>
      <c r="D2215" s="59"/>
      <c r="E2215" s="59"/>
    </row>
    <row r="2216">
      <c r="A2216" s="59"/>
      <c r="B2216" s="59"/>
      <c r="C2216" s="59"/>
      <c r="D2216" s="59"/>
      <c r="E2216" s="59"/>
    </row>
    <row r="2217">
      <c r="A2217" s="59"/>
      <c r="B2217" s="59"/>
      <c r="C2217" s="59"/>
      <c r="D2217" s="59"/>
      <c r="E2217" s="59"/>
    </row>
    <row r="2218">
      <c r="A2218" s="59"/>
      <c r="B2218" s="59"/>
      <c r="C2218" s="59"/>
      <c r="D2218" s="59"/>
      <c r="E2218" s="59"/>
    </row>
    <row r="2219">
      <c r="A2219" s="59"/>
      <c r="B2219" s="59"/>
      <c r="C2219" s="59"/>
      <c r="D2219" s="59"/>
      <c r="E2219" s="59"/>
    </row>
    <row r="2220">
      <c r="A2220" s="59"/>
      <c r="B2220" s="59"/>
      <c r="C2220" s="59"/>
      <c r="D2220" s="59"/>
      <c r="E2220" s="59"/>
    </row>
    <row r="2221">
      <c r="A2221" s="59"/>
      <c r="B2221" s="59"/>
      <c r="C2221" s="59"/>
      <c r="D2221" s="59"/>
      <c r="E2221" s="59"/>
    </row>
    <row r="2222">
      <c r="A2222" s="59"/>
      <c r="B2222" s="59"/>
      <c r="C2222" s="59"/>
      <c r="D2222" s="59"/>
      <c r="E2222" s="59"/>
    </row>
    <row r="2223">
      <c r="A2223" s="59"/>
      <c r="B2223" s="59"/>
      <c r="C2223" s="59"/>
      <c r="D2223" s="59"/>
      <c r="E2223" s="59"/>
    </row>
    <row r="2224">
      <c r="A2224" s="59"/>
      <c r="B2224" s="59"/>
      <c r="C2224" s="59"/>
      <c r="D2224" s="59"/>
      <c r="E2224" s="59"/>
    </row>
    <row r="2225">
      <c r="A2225" s="59"/>
      <c r="B2225" s="59"/>
      <c r="C2225" s="59"/>
      <c r="D2225" s="59"/>
      <c r="E2225" s="59"/>
    </row>
    <row r="2226">
      <c r="A2226" s="59"/>
      <c r="B2226" s="59"/>
      <c r="C2226" s="59"/>
      <c r="D2226" s="59"/>
      <c r="E2226" s="59"/>
    </row>
    <row r="2227">
      <c r="A2227" s="59"/>
      <c r="B2227" s="59"/>
      <c r="C2227" s="59"/>
      <c r="D2227" s="59"/>
      <c r="E2227" s="59"/>
    </row>
    <row r="2228">
      <c r="A2228" s="59"/>
      <c r="B2228" s="59"/>
      <c r="C2228" s="59"/>
      <c r="D2228" s="59"/>
      <c r="E2228" s="59"/>
    </row>
    <row r="2229">
      <c r="A2229" s="59"/>
      <c r="B2229" s="59"/>
      <c r="C2229" s="59"/>
      <c r="D2229" s="59"/>
      <c r="E2229" s="59"/>
    </row>
    <row r="2230">
      <c r="A2230" s="59"/>
      <c r="B2230" s="59"/>
      <c r="C2230" s="59"/>
      <c r="D2230" s="59"/>
      <c r="E2230" s="59"/>
    </row>
    <row r="2231">
      <c r="A2231" s="59"/>
      <c r="B2231" s="59"/>
      <c r="C2231" s="59"/>
      <c r="D2231" s="59"/>
      <c r="E2231" s="59"/>
    </row>
    <row r="2232">
      <c r="A2232" s="59"/>
      <c r="B2232" s="59"/>
      <c r="C2232" s="59"/>
      <c r="D2232" s="59"/>
      <c r="E2232" s="59"/>
    </row>
    <row r="2233">
      <c r="A2233" s="59"/>
      <c r="B2233" s="59"/>
      <c r="C2233" s="59"/>
      <c r="D2233" s="59"/>
      <c r="E2233" s="59"/>
    </row>
    <row r="2234">
      <c r="A2234" s="59"/>
      <c r="B2234" s="59"/>
      <c r="C2234" s="59"/>
      <c r="D2234" s="59"/>
      <c r="E2234" s="59"/>
    </row>
    <row r="2235">
      <c r="A2235" s="59"/>
      <c r="B2235" s="59"/>
      <c r="C2235" s="59"/>
      <c r="D2235" s="59"/>
      <c r="E2235" s="59"/>
    </row>
    <row r="2236">
      <c r="A2236" s="59"/>
      <c r="B2236" s="59"/>
      <c r="C2236" s="59"/>
      <c r="D2236" s="59"/>
      <c r="E2236" s="59"/>
    </row>
    <row r="2237">
      <c r="A2237" s="59"/>
      <c r="B2237" s="59"/>
      <c r="C2237" s="59"/>
      <c r="D2237" s="59"/>
      <c r="E2237" s="59"/>
    </row>
    <row r="2238">
      <c r="A2238" s="59"/>
      <c r="B2238" s="59"/>
      <c r="C2238" s="59"/>
      <c r="D2238" s="59"/>
      <c r="E2238" s="59"/>
    </row>
    <row r="2239">
      <c r="A2239" s="59"/>
      <c r="B2239" s="59"/>
      <c r="C2239" s="59"/>
      <c r="D2239" s="59"/>
      <c r="E2239" s="59"/>
    </row>
    <row r="2240">
      <c r="A2240" s="59"/>
      <c r="B2240" s="59"/>
      <c r="C2240" s="59"/>
      <c r="D2240" s="59"/>
      <c r="E2240" s="59"/>
    </row>
    <row r="2241">
      <c r="A2241" s="59"/>
      <c r="B2241" s="59"/>
      <c r="C2241" s="59"/>
      <c r="D2241" s="59"/>
      <c r="E2241" s="59"/>
    </row>
    <row r="2242">
      <c r="A2242" s="59"/>
      <c r="B2242" s="59"/>
      <c r="C2242" s="59"/>
      <c r="D2242" s="59"/>
      <c r="E2242" s="59"/>
    </row>
    <row r="2243">
      <c r="A2243" s="59"/>
      <c r="B2243" s="59"/>
      <c r="C2243" s="59"/>
      <c r="D2243" s="59"/>
      <c r="E2243" s="59"/>
    </row>
    <row r="2244">
      <c r="A2244" s="59"/>
      <c r="B2244" s="59"/>
      <c r="C2244" s="59"/>
      <c r="D2244" s="59"/>
      <c r="E2244" s="59"/>
    </row>
    <row r="2245">
      <c r="A2245" s="59"/>
      <c r="B2245" s="59"/>
      <c r="C2245" s="59"/>
      <c r="D2245" s="59"/>
      <c r="E2245" s="59"/>
    </row>
    <row r="2246">
      <c r="A2246" s="59"/>
      <c r="B2246" s="59"/>
      <c r="C2246" s="59"/>
      <c r="D2246" s="59"/>
      <c r="E2246" s="59"/>
    </row>
    <row r="2247">
      <c r="A2247" s="59"/>
      <c r="B2247" s="59"/>
      <c r="C2247" s="59"/>
      <c r="D2247" s="59"/>
      <c r="E2247" s="59"/>
    </row>
    <row r="2248">
      <c r="A2248" s="59"/>
      <c r="B2248" s="59"/>
      <c r="C2248" s="59"/>
      <c r="D2248" s="59"/>
      <c r="E2248" s="59"/>
    </row>
    <row r="2249">
      <c r="A2249" s="59"/>
      <c r="B2249" s="59"/>
      <c r="C2249" s="59"/>
      <c r="D2249" s="59"/>
      <c r="E2249" s="59"/>
    </row>
    <row r="2250">
      <c r="A2250" s="59"/>
      <c r="B2250" s="59"/>
      <c r="C2250" s="59"/>
      <c r="D2250" s="59"/>
      <c r="E2250" s="59"/>
    </row>
    <row r="2251">
      <c r="A2251" s="59"/>
      <c r="B2251" s="59"/>
      <c r="C2251" s="59"/>
      <c r="D2251" s="59"/>
      <c r="E2251" s="59"/>
    </row>
    <row r="2252">
      <c r="A2252" s="59"/>
      <c r="B2252" s="59"/>
      <c r="C2252" s="59"/>
      <c r="D2252" s="59"/>
      <c r="E2252" s="59"/>
    </row>
    <row r="2253">
      <c r="A2253" s="59"/>
      <c r="B2253" s="59"/>
      <c r="C2253" s="59"/>
      <c r="D2253" s="59"/>
      <c r="E2253" s="59"/>
    </row>
    <row r="2254">
      <c r="A2254" s="59"/>
      <c r="B2254" s="59"/>
      <c r="C2254" s="59"/>
      <c r="D2254" s="59"/>
      <c r="E2254" s="59"/>
    </row>
    <row r="2255">
      <c r="A2255" s="59"/>
      <c r="B2255" s="59"/>
      <c r="C2255" s="59"/>
      <c r="D2255" s="59"/>
      <c r="E2255" s="59"/>
    </row>
    <row r="2256">
      <c r="A2256" s="59"/>
      <c r="B2256" s="59"/>
      <c r="C2256" s="59"/>
      <c r="D2256" s="59"/>
      <c r="E2256" s="59"/>
    </row>
    <row r="2257">
      <c r="A2257" s="59"/>
      <c r="B2257" s="59"/>
      <c r="C2257" s="59"/>
      <c r="D2257" s="59"/>
      <c r="E2257" s="59"/>
    </row>
    <row r="2258">
      <c r="A2258" s="59"/>
      <c r="B2258" s="59"/>
      <c r="C2258" s="59"/>
      <c r="D2258" s="59"/>
      <c r="E2258" s="59"/>
    </row>
    <row r="2259">
      <c r="A2259" s="59"/>
      <c r="B2259" s="59"/>
      <c r="C2259" s="59"/>
      <c r="D2259" s="59"/>
      <c r="E2259" s="59"/>
    </row>
    <row r="2260">
      <c r="A2260" s="59"/>
      <c r="B2260" s="59"/>
      <c r="C2260" s="59"/>
      <c r="D2260" s="59"/>
      <c r="E2260" s="59"/>
    </row>
    <row r="2261">
      <c r="A2261" s="59"/>
      <c r="B2261" s="59"/>
      <c r="C2261" s="59"/>
      <c r="D2261" s="59"/>
      <c r="E2261" s="59"/>
    </row>
    <row r="2262">
      <c r="A2262" s="59"/>
      <c r="B2262" s="59"/>
      <c r="C2262" s="59"/>
      <c r="D2262" s="59"/>
      <c r="E2262" s="59"/>
    </row>
    <row r="2263">
      <c r="A2263" s="59"/>
      <c r="B2263" s="59"/>
      <c r="C2263" s="59"/>
      <c r="D2263" s="59"/>
      <c r="E2263" s="59"/>
    </row>
    <row r="2264">
      <c r="A2264" s="59"/>
      <c r="B2264" s="59"/>
      <c r="C2264" s="59"/>
      <c r="D2264" s="59"/>
      <c r="E2264" s="59"/>
    </row>
    <row r="2265">
      <c r="A2265" s="59"/>
      <c r="B2265" s="59"/>
      <c r="C2265" s="59"/>
      <c r="D2265" s="59"/>
      <c r="E2265" s="59"/>
    </row>
    <row r="2266">
      <c r="A2266" s="4"/>
      <c r="B2266" s="4"/>
      <c r="C2266" s="4"/>
      <c r="D2266" s="4"/>
      <c r="E2266" s="6"/>
    </row>
    <row r="2267">
      <c r="A2267" s="4"/>
      <c r="B2267" s="4"/>
      <c r="C2267" s="4"/>
      <c r="D2267" s="4"/>
      <c r="E2267" s="6"/>
    </row>
    <row r="2268">
      <c r="A2268" s="4"/>
      <c r="B2268" s="4"/>
      <c r="C2268" s="4"/>
      <c r="D2268" s="4"/>
      <c r="E2268" s="6"/>
    </row>
    <row r="2269">
      <c r="A2269" s="4"/>
      <c r="B2269" s="4"/>
      <c r="C2269" s="4"/>
      <c r="D2269" s="4"/>
      <c r="E2269" s="6"/>
    </row>
    <row r="2270">
      <c r="A2270" s="4"/>
      <c r="B2270" s="4"/>
      <c r="C2270" s="4"/>
      <c r="D2270" s="4"/>
      <c r="E2270" s="6"/>
    </row>
    <row r="2271">
      <c r="A2271" s="4"/>
      <c r="B2271" s="4"/>
      <c r="C2271" s="4"/>
      <c r="D2271" s="4"/>
      <c r="E2271" s="6"/>
    </row>
    <row r="2272">
      <c r="A2272" s="4"/>
      <c r="B2272" s="4"/>
      <c r="C2272" s="4"/>
      <c r="D2272" s="4"/>
      <c r="E2272" s="6"/>
    </row>
    <row r="2273">
      <c r="A2273" s="4"/>
      <c r="B2273" s="4"/>
      <c r="C2273" s="4"/>
      <c r="D2273" s="4"/>
      <c r="E2273" s="6"/>
    </row>
    <row r="2274">
      <c r="A2274" s="59"/>
      <c r="B2274" s="59"/>
      <c r="C2274" s="59"/>
      <c r="D2274" s="59"/>
      <c r="E2274" s="59"/>
    </row>
    <row r="2275">
      <c r="A2275" s="59"/>
      <c r="B2275" s="59"/>
      <c r="C2275" s="59"/>
      <c r="D2275" s="59"/>
      <c r="E2275" s="59"/>
    </row>
    <row r="2276">
      <c r="A2276" s="59"/>
      <c r="B2276" s="59"/>
      <c r="C2276" s="59"/>
      <c r="D2276" s="59"/>
      <c r="E2276" s="59"/>
    </row>
    <row r="2277">
      <c r="A2277" s="59"/>
      <c r="B2277" s="59"/>
      <c r="C2277" s="59"/>
      <c r="D2277" s="59"/>
      <c r="E2277" s="59"/>
    </row>
    <row r="2278">
      <c r="A2278" s="59"/>
      <c r="B2278" s="59"/>
      <c r="C2278" s="59"/>
      <c r="D2278" s="59"/>
      <c r="E2278" s="59"/>
    </row>
    <row r="2279">
      <c r="A2279" s="59"/>
      <c r="B2279" s="59"/>
      <c r="C2279" s="59"/>
      <c r="D2279" s="59"/>
      <c r="E2279" s="59"/>
    </row>
    <row r="2280">
      <c r="A2280" s="59"/>
      <c r="B2280" s="59"/>
      <c r="C2280" s="59"/>
      <c r="D2280" s="59"/>
      <c r="E2280" s="59"/>
    </row>
    <row r="2281">
      <c r="A2281" s="59"/>
      <c r="B2281" s="59"/>
      <c r="C2281" s="59"/>
      <c r="D2281" s="59"/>
      <c r="E2281" s="59"/>
    </row>
    <row r="2282">
      <c r="A2282" s="59"/>
      <c r="B2282" s="59"/>
      <c r="C2282" s="59"/>
      <c r="D2282" s="59"/>
      <c r="E2282" s="59"/>
    </row>
    <row r="2283">
      <c r="A2283" s="59"/>
      <c r="B2283" s="59"/>
      <c r="C2283" s="59"/>
      <c r="D2283" s="59"/>
      <c r="E2283" s="59"/>
    </row>
    <row r="2284">
      <c r="A2284" s="59"/>
      <c r="B2284" s="59"/>
      <c r="C2284" s="59"/>
      <c r="D2284" s="59"/>
      <c r="E2284" s="59"/>
    </row>
    <row r="2285">
      <c r="A2285" s="59"/>
      <c r="B2285" s="59"/>
      <c r="C2285" s="59"/>
      <c r="D2285" s="59"/>
      <c r="E2285" s="59"/>
    </row>
    <row r="2286">
      <c r="A2286" s="59"/>
      <c r="B2286" s="59"/>
      <c r="C2286" s="59"/>
      <c r="D2286" s="59"/>
      <c r="E2286" s="59"/>
    </row>
    <row r="2287">
      <c r="A2287" s="59"/>
      <c r="B2287" s="59"/>
      <c r="C2287" s="59"/>
      <c r="D2287" s="59"/>
      <c r="E2287" s="59"/>
    </row>
    <row r="2288">
      <c r="A2288" s="59"/>
      <c r="B2288" s="59"/>
      <c r="C2288" s="59"/>
      <c r="D2288" s="59"/>
      <c r="E2288" s="59"/>
    </row>
    <row r="2289">
      <c r="A2289" s="59"/>
      <c r="B2289" s="59"/>
      <c r="C2289" s="59"/>
      <c r="D2289" s="59"/>
      <c r="E2289" s="59"/>
    </row>
    <row r="2290">
      <c r="A2290" s="59"/>
      <c r="B2290" s="59"/>
      <c r="C2290" s="59"/>
      <c r="D2290" s="59"/>
      <c r="E2290" s="59"/>
    </row>
    <row r="2291">
      <c r="A2291" s="59"/>
      <c r="B2291" s="59"/>
      <c r="C2291" s="59"/>
      <c r="D2291" s="59"/>
      <c r="E2291" s="59"/>
    </row>
    <row r="2292">
      <c r="A2292" s="59"/>
      <c r="B2292" s="59"/>
      <c r="C2292" s="59"/>
      <c r="D2292" s="59"/>
      <c r="E2292" s="59"/>
    </row>
    <row r="2293">
      <c r="A2293" s="59"/>
      <c r="B2293" s="59"/>
      <c r="C2293" s="59"/>
      <c r="D2293" s="59"/>
      <c r="E2293" s="59"/>
    </row>
    <row r="2294">
      <c r="A2294" s="4"/>
      <c r="B2294" s="4"/>
      <c r="C2294" s="4"/>
      <c r="D2294" s="4"/>
      <c r="E2294" s="6"/>
    </row>
    <row r="2295">
      <c r="A2295" s="59"/>
      <c r="B2295" s="59"/>
      <c r="C2295" s="59"/>
      <c r="D2295" s="59"/>
      <c r="E2295" s="59"/>
    </row>
    <row r="2296">
      <c r="A2296" s="59"/>
      <c r="B2296" s="59"/>
      <c r="C2296" s="59"/>
      <c r="D2296" s="59"/>
      <c r="E2296" s="59"/>
    </row>
    <row r="2297">
      <c r="A2297" s="59"/>
      <c r="B2297" s="59"/>
      <c r="C2297" s="59"/>
      <c r="D2297" s="59"/>
      <c r="E2297" s="59"/>
    </row>
    <row r="2298">
      <c r="A2298" s="59"/>
      <c r="B2298" s="59"/>
      <c r="C2298" s="59"/>
      <c r="D2298" s="59"/>
      <c r="E2298" s="59"/>
    </row>
    <row r="2299">
      <c r="A2299" s="59"/>
      <c r="B2299" s="59"/>
      <c r="C2299" s="59"/>
      <c r="D2299" s="59"/>
      <c r="E2299" s="59"/>
    </row>
    <row r="2300">
      <c r="A2300" s="4"/>
      <c r="B2300" s="4"/>
      <c r="C2300" s="4"/>
      <c r="D2300" s="4"/>
      <c r="E2300" s="6"/>
    </row>
    <row r="2301">
      <c r="A2301" s="59"/>
      <c r="B2301" s="59"/>
      <c r="C2301" s="59"/>
      <c r="D2301" s="59"/>
      <c r="E2301" s="59"/>
    </row>
    <row r="2302">
      <c r="A2302" s="59"/>
      <c r="B2302" s="59"/>
      <c r="C2302" s="59"/>
      <c r="D2302" s="59"/>
      <c r="E2302" s="59"/>
    </row>
    <row r="2303">
      <c r="A2303" s="4"/>
      <c r="B2303" s="4"/>
      <c r="C2303" s="4"/>
      <c r="D2303" s="4"/>
      <c r="E2303" s="6"/>
    </row>
    <row r="2304">
      <c r="A2304" s="4"/>
      <c r="B2304" s="4"/>
      <c r="C2304" s="4"/>
      <c r="D2304" s="4"/>
      <c r="E2304" s="6"/>
    </row>
    <row r="2305">
      <c r="A2305" s="4"/>
      <c r="B2305" s="4"/>
      <c r="C2305" s="4"/>
      <c r="D2305" s="4"/>
      <c r="E2305" s="6"/>
    </row>
    <row r="2306">
      <c r="A2306" s="59"/>
      <c r="B2306" s="59"/>
      <c r="C2306" s="59"/>
      <c r="D2306" s="59"/>
      <c r="E2306" s="59"/>
    </row>
    <row r="2307">
      <c r="A2307" s="59"/>
      <c r="B2307" s="59"/>
      <c r="C2307" s="59"/>
      <c r="D2307" s="59"/>
      <c r="E2307" s="59"/>
    </row>
    <row r="2308">
      <c r="A2308" s="59"/>
      <c r="B2308" s="59"/>
      <c r="C2308" s="59"/>
      <c r="D2308" s="59"/>
      <c r="E2308" s="59"/>
    </row>
    <row r="2309">
      <c r="A2309" s="59"/>
      <c r="B2309" s="59"/>
      <c r="C2309" s="59"/>
      <c r="D2309" s="59"/>
      <c r="E2309" s="59"/>
    </row>
    <row r="2310">
      <c r="A2310" s="59"/>
      <c r="B2310" s="59"/>
      <c r="C2310" s="59"/>
      <c r="D2310" s="59"/>
      <c r="E2310" s="59"/>
    </row>
    <row r="2311">
      <c r="A2311" s="59"/>
      <c r="B2311" s="59"/>
      <c r="C2311" s="59"/>
      <c r="D2311" s="59"/>
      <c r="E2311" s="59"/>
    </row>
    <row r="2312">
      <c r="A2312" s="59"/>
      <c r="B2312" s="59"/>
      <c r="C2312" s="59"/>
      <c r="D2312" s="59"/>
      <c r="E2312" s="59"/>
    </row>
    <row r="2313">
      <c r="A2313" s="59"/>
      <c r="B2313" s="59"/>
      <c r="C2313" s="59"/>
      <c r="D2313" s="59"/>
      <c r="E2313" s="59"/>
    </row>
    <row r="2314">
      <c r="A2314" s="59"/>
      <c r="B2314" s="59"/>
      <c r="C2314" s="59"/>
      <c r="D2314" s="59"/>
      <c r="E2314" s="59"/>
    </row>
    <row r="2315">
      <c r="A2315" s="59"/>
      <c r="B2315" s="59"/>
      <c r="C2315" s="59"/>
      <c r="D2315" s="59"/>
      <c r="E2315" s="59"/>
    </row>
    <row r="2316">
      <c r="A2316" s="59"/>
      <c r="B2316" s="59"/>
      <c r="C2316" s="59"/>
      <c r="D2316" s="59"/>
      <c r="E2316" s="59"/>
    </row>
    <row r="2317">
      <c r="A2317" s="59"/>
      <c r="B2317" s="59"/>
      <c r="C2317" s="59"/>
      <c r="D2317" s="59"/>
      <c r="E2317" s="59"/>
    </row>
    <row r="2318">
      <c r="A2318" s="59"/>
      <c r="B2318" s="59"/>
      <c r="C2318" s="59"/>
      <c r="D2318" s="59"/>
      <c r="E2318" s="59"/>
    </row>
    <row r="2319">
      <c r="A2319" s="59"/>
      <c r="B2319" s="59"/>
      <c r="C2319" s="59"/>
      <c r="D2319" s="59"/>
      <c r="E2319" s="59"/>
    </row>
    <row r="2320">
      <c r="A2320" s="59"/>
      <c r="B2320" s="59"/>
      <c r="C2320" s="59"/>
      <c r="D2320" s="59"/>
      <c r="E2320" s="59"/>
    </row>
    <row r="2321">
      <c r="A2321" s="59"/>
      <c r="B2321" s="59"/>
      <c r="C2321" s="59"/>
      <c r="D2321" s="59"/>
      <c r="E2321" s="59"/>
    </row>
    <row r="2322">
      <c r="A2322" s="59"/>
      <c r="B2322" s="59"/>
      <c r="C2322" s="59"/>
      <c r="D2322" s="59"/>
      <c r="E2322" s="59"/>
    </row>
    <row r="2323">
      <c r="A2323" s="59"/>
      <c r="B2323" s="59"/>
      <c r="C2323" s="59"/>
      <c r="D2323" s="59"/>
      <c r="E2323" s="59"/>
    </row>
    <row r="2324">
      <c r="A2324" s="59"/>
      <c r="B2324" s="59"/>
      <c r="C2324" s="59"/>
      <c r="D2324" s="59"/>
      <c r="E2324" s="59"/>
    </row>
    <row r="2325">
      <c r="A2325" s="59"/>
      <c r="B2325" s="59"/>
      <c r="C2325" s="59"/>
      <c r="D2325" s="59"/>
      <c r="E2325" s="59"/>
    </row>
    <row r="2326">
      <c r="A2326" s="59"/>
      <c r="B2326" s="59"/>
      <c r="C2326" s="59"/>
      <c r="D2326" s="59"/>
      <c r="E2326" s="59"/>
    </row>
    <row r="2327">
      <c r="A2327" s="59"/>
      <c r="B2327" s="59"/>
      <c r="C2327" s="59"/>
      <c r="D2327" s="59"/>
      <c r="E2327" s="59"/>
    </row>
    <row r="2328">
      <c r="A2328" s="59"/>
      <c r="B2328" s="59"/>
      <c r="C2328" s="59"/>
      <c r="D2328" s="59"/>
      <c r="E2328" s="59"/>
    </row>
    <row r="2329">
      <c r="A2329" s="59"/>
      <c r="B2329" s="59"/>
      <c r="C2329" s="59"/>
      <c r="D2329" s="59"/>
      <c r="E2329" s="59"/>
    </row>
    <row r="2330">
      <c r="A2330" s="59"/>
      <c r="B2330" s="59"/>
      <c r="C2330" s="59"/>
      <c r="D2330" s="59"/>
      <c r="E2330" s="59"/>
    </row>
    <row r="2331">
      <c r="A2331" s="59"/>
      <c r="B2331" s="59"/>
      <c r="C2331" s="59"/>
      <c r="D2331" s="59"/>
      <c r="E2331" s="59"/>
    </row>
    <row r="2332">
      <c r="A2332" s="59"/>
      <c r="B2332" s="59"/>
      <c r="C2332" s="59"/>
      <c r="D2332" s="59"/>
      <c r="E2332" s="59"/>
    </row>
    <row r="2333">
      <c r="A2333" s="59"/>
      <c r="B2333" s="59"/>
      <c r="C2333" s="59"/>
      <c r="D2333" s="59"/>
      <c r="E2333" s="59"/>
    </row>
    <row r="2334">
      <c r="A2334" s="4"/>
      <c r="B2334" s="4"/>
      <c r="C2334" s="4"/>
      <c r="D2334" s="4"/>
      <c r="E2334" s="48"/>
    </row>
    <row r="2335">
      <c r="A2335" s="4"/>
      <c r="B2335" s="4"/>
      <c r="C2335" s="4"/>
      <c r="D2335" s="4"/>
      <c r="E2335" s="4"/>
    </row>
    <row r="2336">
      <c r="A2336" s="59"/>
      <c r="B2336" s="59"/>
      <c r="C2336" s="59"/>
      <c r="D2336" s="59"/>
      <c r="E2336" s="59"/>
    </row>
    <row r="2337">
      <c r="A2337" s="59"/>
      <c r="B2337" s="59"/>
      <c r="C2337" s="59"/>
      <c r="D2337" s="59"/>
      <c r="E2337" s="59"/>
    </row>
    <row r="2338">
      <c r="A2338" s="59"/>
      <c r="B2338" s="59"/>
      <c r="C2338" s="59"/>
      <c r="D2338" s="59"/>
      <c r="E2338" s="59"/>
    </row>
    <row r="2339">
      <c r="A2339" s="59"/>
      <c r="B2339" s="59"/>
      <c r="C2339" s="59"/>
      <c r="D2339" s="59"/>
      <c r="E2339" s="59"/>
    </row>
    <row r="2340">
      <c r="A2340" s="59"/>
      <c r="B2340" s="59"/>
      <c r="C2340" s="59"/>
      <c r="D2340" s="59"/>
      <c r="E2340" s="59"/>
    </row>
    <row r="2341">
      <c r="A2341" s="59"/>
      <c r="B2341" s="59"/>
      <c r="C2341" s="59"/>
      <c r="D2341" s="59"/>
      <c r="E2341" s="59"/>
    </row>
    <row r="2342">
      <c r="A2342" s="59"/>
      <c r="B2342" s="59"/>
      <c r="C2342" s="59"/>
      <c r="D2342" s="59"/>
      <c r="E2342" s="59"/>
    </row>
    <row r="2343">
      <c r="A2343" s="59"/>
      <c r="B2343" s="59"/>
      <c r="C2343" s="59"/>
      <c r="D2343" s="59"/>
      <c r="E2343" s="59"/>
    </row>
    <row r="2344">
      <c r="A2344" s="59"/>
      <c r="B2344" s="59"/>
      <c r="C2344" s="59"/>
      <c r="D2344" s="59"/>
      <c r="E2344" s="59"/>
    </row>
    <row r="2345">
      <c r="A2345" s="59"/>
      <c r="B2345" s="59"/>
      <c r="C2345" s="59"/>
      <c r="D2345" s="59"/>
      <c r="E2345" s="59"/>
    </row>
    <row r="2346">
      <c r="A2346" s="59"/>
      <c r="B2346" s="59"/>
      <c r="C2346" s="59"/>
      <c r="D2346" s="59"/>
      <c r="E2346" s="59"/>
    </row>
    <row r="2347">
      <c r="A2347" s="59"/>
      <c r="B2347" s="59"/>
      <c r="C2347" s="59"/>
      <c r="D2347" s="59"/>
      <c r="E2347" s="59"/>
    </row>
    <row r="2348">
      <c r="A2348" s="59"/>
      <c r="B2348" s="59"/>
      <c r="C2348" s="59"/>
      <c r="D2348" s="59"/>
      <c r="E2348" s="59"/>
    </row>
    <row r="2349">
      <c r="A2349" s="59"/>
      <c r="B2349" s="59"/>
      <c r="C2349" s="59"/>
      <c r="D2349" s="59"/>
      <c r="E2349" s="59"/>
    </row>
    <row r="2350">
      <c r="A2350" s="59"/>
      <c r="B2350" s="59"/>
      <c r="C2350" s="59"/>
      <c r="D2350" s="59"/>
      <c r="E2350" s="59"/>
    </row>
    <row r="2351">
      <c r="A2351" s="59"/>
      <c r="B2351" s="59"/>
      <c r="C2351" s="59"/>
      <c r="D2351" s="59"/>
      <c r="E2351" s="59"/>
    </row>
    <row r="2352">
      <c r="A2352" s="59"/>
      <c r="B2352" s="59"/>
      <c r="C2352" s="59"/>
      <c r="D2352" s="59"/>
      <c r="E2352" s="59"/>
    </row>
    <row r="2353">
      <c r="A2353" s="59"/>
      <c r="B2353" s="59"/>
      <c r="C2353" s="59"/>
      <c r="D2353" s="59"/>
      <c r="E2353" s="59"/>
    </row>
    <row r="2354">
      <c r="A2354" s="59"/>
      <c r="B2354" s="59"/>
      <c r="C2354" s="59"/>
      <c r="D2354" s="59"/>
      <c r="E2354" s="59"/>
    </row>
    <row r="2355">
      <c r="A2355" s="59"/>
      <c r="B2355" s="59"/>
      <c r="C2355" s="59"/>
      <c r="D2355" s="59"/>
      <c r="E2355" s="59"/>
    </row>
    <row r="2356">
      <c r="A2356" s="4"/>
      <c r="B2356" s="4"/>
      <c r="C2356" s="4"/>
      <c r="D2356" s="4"/>
      <c r="E2356" s="6"/>
    </row>
    <row r="2357">
      <c r="A2357" s="59"/>
      <c r="B2357" s="59"/>
      <c r="C2357" s="59"/>
      <c r="D2357" s="59"/>
      <c r="E2357" s="59"/>
    </row>
    <row r="2358">
      <c r="A2358" s="59"/>
      <c r="B2358" s="59"/>
      <c r="C2358" s="59"/>
      <c r="D2358" s="59"/>
      <c r="E2358" s="59"/>
    </row>
    <row r="2359">
      <c r="A2359" s="59"/>
      <c r="B2359" s="59"/>
      <c r="C2359" s="59"/>
      <c r="D2359" s="59"/>
      <c r="E2359" s="59"/>
    </row>
    <row r="2360">
      <c r="A2360" s="59"/>
      <c r="B2360" s="59"/>
      <c r="C2360" s="59"/>
      <c r="D2360" s="59"/>
      <c r="E2360" s="59"/>
    </row>
    <row r="2361">
      <c r="A2361" s="4"/>
      <c r="B2361" s="4"/>
      <c r="C2361" s="4"/>
      <c r="D2361" s="4"/>
      <c r="E2361" s="6"/>
    </row>
    <row r="2362">
      <c r="A2362" s="59"/>
      <c r="B2362" s="59"/>
      <c r="C2362" s="59"/>
      <c r="D2362" s="59"/>
      <c r="E2362" s="59"/>
    </row>
    <row r="2363">
      <c r="A2363" s="59"/>
      <c r="B2363" s="59"/>
      <c r="C2363" s="59"/>
      <c r="D2363" s="59"/>
      <c r="E2363" s="59"/>
    </row>
    <row r="2364">
      <c r="A2364" s="59"/>
      <c r="B2364" s="59"/>
      <c r="C2364" s="59"/>
      <c r="D2364" s="59"/>
      <c r="E2364" s="59"/>
    </row>
    <row r="2365">
      <c r="A2365" s="59"/>
      <c r="B2365" s="59"/>
      <c r="C2365" s="59"/>
      <c r="D2365" s="59"/>
      <c r="E2365" s="59"/>
    </row>
    <row r="2366">
      <c r="A2366" s="59"/>
      <c r="B2366" s="59"/>
      <c r="C2366" s="59"/>
      <c r="D2366" s="59"/>
      <c r="E2366" s="59"/>
    </row>
    <row r="2367">
      <c r="A2367" s="59"/>
      <c r="B2367" s="59"/>
      <c r="C2367" s="59"/>
      <c r="D2367" s="59"/>
      <c r="E2367" s="59"/>
    </row>
    <row r="2368">
      <c r="A2368" s="59"/>
      <c r="B2368" s="59"/>
      <c r="C2368" s="59"/>
      <c r="D2368" s="59"/>
      <c r="E2368" s="59"/>
    </row>
    <row r="2369">
      <c r="A2369" s="59"/>
      <c r="B2369" s="59"/>
      <c r="C2369" s="59"/>
      <c r="D2369" s="59"/>
      <c r="E2369" s="59"/>
    </row>
    <row r="2370">
      <c r="A2370" s="59"/>
      <c r="B2370" s="59"/>
      <c r="C2370" s="59"/>
      <c r="D2370" s="59"/>
      <c r="E2370" s="59"/>
    </row>
    <row r="2371">
      <c r="A2371" s="59"/>
      <c r="B2371" s="59"/>
      <c r="C2371" s="59"/>
      <c r="D2371" s="59"/>
      <c r="E2371" s="59"/>
    </row>
    <row r="2372">
      <c r="A2372" s="4"/>
      <c r="B2372" s="4"/>
      <c r="C2372" s="4"/>
      <c r="D2372" s="4"/>
      <c r="E2372" s="64"/>
    </row>
    <row r="2373">
      <c r="A2373" s="4"/>
      <c r="B2373" s="4"/>
      <c r="C2373" s="4"/>
      <c r="D2373" s="4"/>
      <c r="E2373" s="6"/>
    </row>
    <row r="2374">
      <c r="A2374" s="62"/>
      <c r="B2374" s="62"/>
      <c r="C2374" s="62"/>
      <c r="D2374" s="62"/>
      <c r="E2374" s="62"/>
    </row>
    <row r="2375">
      <c r="A2375" s="62"/>
      <c r="B2375" s="62"/>
      <c r="C2375" s="62"/>
      <c r="D2375" s="62"/>
      <c r="E2375" s="62"/>
    </row>
    <row r="2376">
      <c r="A2376" s="62"/>
      <c r="B2376" s="62"/>
      <c r="C2376" s="62"/>
      <c r="D2376" s="62"/>
      <c r="E2376" s="62"/>
    </row>
    <row r="2377">
      <c r="A2377" s="62"/>
      <c r="B2377" s="62"/>
      <c r="C2377" s="62"/>
      <c r="D2377" s="62"/>
      <c r="E2377" s="62"/>
    </row>
    <row r="2378">
      <c r="A2378" s="62"/>
      <c r="B2378" s="62"/>
      <c r="C2378" s="62"/>
      <c r="D2378" s="62"/>
      <c r="E2378" s="62"/>
    </row>
    <row r="2379">
      <c r="A2379" s="62"/>
      <c r="B2379" s="62"/>
      <c r="C2379" s="62"/>
      <c r="D2379" s="62"/>
      <c r="E2379" s="62"/>
    </row>
    <row r="2380">
      <c r="A2380" s="59"/>
      <c r="B2380" s="59"/>
      <c r="C2380" s="59"/>
      <c r="D2380" s="59"/>
      <c r="E2380" s="59"/>
    </row>
    <row r="2381">
      <c r="A2381" s="59"/>
      <c r="B2381" s="59"/>
      <c r="C2381" s="59"/>
      <c r="D2381" s="59"/>
      <c r="E2381" s="59"/>
    </row>
    <row r="2382">
      <c r="A2382" s="59"/>
      <c r="B2382" s="59"/>
      <c r="C2382" s="59"/>
      <c r="D2382" s="59"/>
      <c r="E2382" s="59"/>
    </row>
    <row r="2383">
      <c r="A2383" s="59"/>
      <c r="B2383" s="59"/>
      <c r="C2383" s="59"/>
      <c r="D2383" s="59"/>
      <c r="E2383" s="59"/>
    </row>
    <row r="2384">
      <c r="A2384" s="59"/>
      <c r="B2384" s="59"/>
      <c r="C2384" s="59"/>
      <c r="D2384" s="59"/>
      <c r="E2384" s="59"/>
    </row>
    <row r="2385">
      <c r="A2385" s="59"/>
      <c r="B2385" s="59"/>
      <c r="C2385" s="59"/>
      <c r="D2385" s="59"/>
      <c r="E2385" s="59"/>
    </row>
    <row r="2386">
      <c r="A2386" s="59"/>
      <c r="B2386" s="59"/>
      <c r="C2386" s="59"/>
      <c r="D2386" s="59"/>
      <c r="E2386" s="59"/>
    </row>
    <row r="2387">
      <c r="A2387" s="59"/>
      <c r="B2387" s="59"/>
      <c r="C2387" s="59"/>
      <c r="D2387" s="59"/>
      <c r="E2387" s="59"/>
    </row>
    <row r="2388">
      <c r="A2388" s="59"/>
      <c r="B2388" s="59"/>
      <c r="C2388" s="59"/>
      <c r="D2388" s="59"/>
      <c r="E2388" s="59"/>
    </row>
    <row r="2389">
      <c r="A2389" s="59"/>
      <c r="B2389" s="59"/>
      <c r="C2389" s="59"/>
      <c r="D2389" s="59"/>
      <c r="E2389" s="59"/>
    </row>
    <row r="2390">
      <c r="A2390" s="59"/>
      <c r="B2390" s="59"/>
      <c r="C2390" s="59"/>
      <c r="D2390" s="59"/>
      <c r="E2390" s="59"/>
    </row>
    <row r="2391">
      <c r="A2391" s="59"/>
      <c r="B2391" s="59"/>
      <c r="C2391" s="59"/>
      <c r="D2391" s="59"/>
      <c r="E2391" s="59"/>
    </row>
    <row r="2392">
      <c r="A2392" s="59"/>
      <c r="B2392" s="59"/>
      <c r="C2392" s="59"/>
      <c r="D2392" s="59"/>
      <c r="E2392" s="59"/>
    </row>
    <row r="2393">
      <c r="A2393" s="62"/>
      <c r="B2393" s="62"/>
      <c r="C2393" s="62"/>
      <c r="D2393" s="62"/>
      <c r="E2393" s="62"/>
    </row>
    <row r="2394">
      <c r="A2394" s="62"/>
      <c r="B2394" s="62"/>
      <c r="C2394" s="62"/>
      <c r="D2394" s="62"/>
      <c r="E2394" s="62"/>
    </row>
    <row r="2395">
      <c r="A2395" s="59"/>
      <c r="B2395" s="59"/>
      <c r="C2395" s="59"/>
      <c r="D2395" s="59"/>
      <c r="E2395" s="59"/>
    </row>
    <row r="2396">
      <c r="A2396" s="59"/>
      <c r="B2396" s="59"/>
      <c r="C2396" s="59"/>
      <c r="D2396" s="59"/>
      <c r="E2396" s="59"/>
    </row>
    <row r="2397">
      <c r="A2397" s="59"/>
      <c r="B2397" s="59"/>
      <c r="C2397" s="59"/>
      <c r="D2397" s="59"/>
      <c r="E2397" s="59"/>
    </row>
    <row r="2398">
      <c r="A2398" s="4"/>
      <c r="B2398" s="4"/>
      <c r="C2398" s="4"/>
      <c r="D2398" s="4"/>
      <c r="E2398" s="6"/>
    </row>
    <row r="2399">
      <c r="A2399" s="4"/>
      <c r="B2399" s="4"/>
      <c r="C2399" s="4"/>
      <c r="D2399" s="4"/>
      <c r="E2399" s="6"/>
    </row>
    <row r="2400">
      <c r="A2400" s="4"/>
      <c r="B2400" s="4"/>
      <c r="C2400" s="4"/>
      <c r="D2400" s="4"/>
      <c r="E2400" s="6"/>
    </row>
    <row r="2401">
      <c r="A2401" s="59"/>
      <c r="B2401" s="59"/>
      <c r="C2401" s="59"/>
      <c r="D2401" s="59"/>
      <c r="E2401" s="59"/>
    </row>
    <row r="2402">
      <c r="A2402" s="59"/>
      <c r="B2402" s="59"/>
      <c r="C2402" s="59"/>
      <c r="D2402" s="59"/>
      <c r="E2402" s="59"/>
    </row>
    <row r="2403">
      <c r="A2403" s="59"/>
      <c r="B2403" s="59"/>
      <c r="C2403" s="59"/>
      <c r="D2403" s="59"/>
      <c r="E2403" s="59"/>
    </row>
    <row r="2404">
      <c r="A2404" s="4"/>
      <c r="B2404" s="4"/>
      <c r="C2404" s="4"/>
      <c r="D2404" s="4"/>
      <c r="E2404" s="6"/>
    </row>
    <row r="2405">
      <c r="A2405" s="4"/>
      <c r="B2405" s="4"/>
      <c r="C2405" s="4"/>
      <c r="D2405" s="4"/>
      <c r="E2405" s="6"/>
    </row>
    <row r="2406">
      <c r="A2406" s="4"/>
      <c r="B2406" s="4"/>
      <c r="C2406" s="4"/>
      <c r="D2406" s="4"/>
      <c r="E2406" s="6"/>
    </row>
    <row r="2407">
      <c r="A2407" s="59"/>
      <c r="B2407" s="59"/>
      <c r="C2407" s="59"/>
      <c r="D2407" s="59"/>
      <c r="E2407" s="59"/>
    </row>
    <row r="2408">
      <c r="A2408" s="59"/>
      <c r="B2408" s="59"/>
      <c r="C2408" s="59"/>
      <c r="D2408" s="59"/>
      <c r="E2408" s="59"/>
    </row>
    <row r="2409">
      <c r="A2409" s="59"/>
      <c r="B2409" s="59"/>
      <c r="C2409" s="59"/>
      <c r="D2409" s="59"/>
      <c r="E2409" s="59"/>
    </row>
    <row r="2410">
      <c r="A2410" s="59"/>
      <c r="B2410" s="59"/>
      <c r="C2410" s="59"/>
      <c r="D2410" s="59"/>
      <c r="E2410" s="59"/>
    </row>
    <row r="2411">
      <c r="A2411" s="59"/>
      <c r="B2411" s="59"/>
      <c r="C2411" s="59"/>
      <c r="D2411" s="59"/>
      <c r="E2411" s="59"/>
    </row>
    <row r="2412">
      <c r="A2412" s="59"/>
      <c r="B2412" s="59"/>
      <c r="C2412" s="59"/>
      <c r="D2412" s="59"/>
      <c r="E2412" s="59"/>
    </row>
    <row r="2413">
      <c r="A2413" s="59"/>
      <c r="B2413" s="59"/>
      <c r="C2413" s="59"/>
      <c r="D2413" s="59"/>
      <c r="E2413" s="59"/>
    </row>
    <row r="2414">
      <c r="A2414" s="59"/>
      <c r="B2414" s="59"/>
      <c r="C2414" s="59"/>
      <c r="D2414" s="59"/>
      <c r="E2414" s="59"/>
    </row>
    <row r="2415">
      <c r="A2415" s="59"/>
      <c r="B2415" s="59"/>
      <c r="C2415" s="59"/>
      <c r="D2415" s="59"/>
      <c r="E2415" s="59"/>
    </row>
    <row r="2416">
      <c r="A2416" s="59"/>
      <c r="B2416" s="59"/>
      <c r="C2416" s="59"/>
      <c r="D2416" s="59"/>
      <c r="E2416" s="59"/>
    </row>
    <row r="2417">
      <c r="A2417" s="59"/>
      <c r="B2417" s="59"/>
      <c r="C2417" s="59"/>
      <c r="D2417" s="59"/>
      <c r="E2417" s="59"/>
    </row>
    <row r="2418">
      <c r="A2418" s="59"/>
      <c r="B2418" s="59"/>
      <c r="C2418" s="59"/>
      <c r="D2418" s="59"/>
      <c r="E2418" s="59"/>
    </row>
    <row r="2419">
      <c r="A2419" s="59"/>
      <c r="B2419" s="59"/>
      <c r="C2419" s="59"/>
      <c r="D2419" s="59"/>
      <c r="E2419" s="59"/>
    </row>
    <row r="2420">
      <c r="A2420" s="59"/>
      <c r="B2420" s="59"/>
      <c r="C2420" s="59"/>
      <c r="D2420" s="59"/>
      <c r="E2420" s="59"/>
    </row>
    <row r="2421">
      <c r="A2421" s="59"/>
      <c r="B2421" s="59"/>
      <c r="C2421" s="59"/>
      <c r="D2421" s="59"/>
      <c r="E2421" s="59"/>
    </row>
    <row r="2422">
      <c r="A2422" s="59"/>
      <c r="B2422" s="59"/>
      <c r="C2422" s="59"/>
      <c r="D2422" s="59"/>
      <c r="E2422" s="59"/>
    </row>
    <row r="2423">
      <c r="A2423" s="59"/>
      <c r="B2423" s="59"/>
      <c r="C2423" s="59"/>
      <c r="D2423" s="59"/>
      <c r="E2423" s="59"/>
    </row>
    <row r="2424">
      <c r="A2424" s="59"/>
      <c r="B2424" s="59"/>
      <c r="C2424" s="59"/>
      <c r="D2424" s="59"/>
      <c r="E2424" s="59"/>
    </row>
    <row r="2425">
      <c r="A2425" s="59"/>
      <c r="B2425" s="59"/>
      <c r="C2425" s="59"/>
      <c r="D2425" s="59"/>
      <c r="E2425" s="59"/>
    </row>
    <row r="2426">
      <c r="A2426" s="59"/>
      <c r="B2426" s="59"/>
      <c r="C2426" s="59"/>
      <c r="D2426" s="59"/>
      <c r="E2426" s="59"/>
    </row>
    <row r="2427">
      <c r="A2427" s="59"/>
      <c r="B2427" s="59"/>
      <c r="C2427" s="59"/>
      <c r="D2427" s="59"/>
      <c r="E2427" s="59"/>
    </row>
    <row r="2428">
      <c r="A2428" s="59"/>
      <c r="B2428" s="59"/>
      <c r="C2428" s="59"/>
      <c r="D2428" s="59"/>
      <c r="E2428" s="59"/>
    </row>
    <row r="2429">
      <c r="A2429" s="59"/>
      <c r="B2429" s="59"/>
      <c r="C2429" s="59"/>
      <c r="D2429" s="59"/>
      <c r="E2429" s="59"/>
    </row>
    <row r="2430">
      <c r="A2430" s="59"/>
      <c r="B2430" s="59"/>
      <c r="C2430" s="59"/>
      <c r="D2430" s="59"/>
      <c r="E2430" s="59"/>
    </row>
    <row r="2431">
      <c r="A2431" s="59"/>
      <c r="B2431" s="59"/>
      <c r="C2431" s="59"/>
      <c r="D2431" s="59"/>
      <c r="E2431" s="59"/>
    </row>
    <row r="2432">
      <c r="A2432" s="59"/>
      <c r="B2432" s="59"/>
      <c r="C2432" s="59"/>
      <c r="D2432" s="59"/>
      <c r="E2432" s="59"/>
    </row>
    <row r="2433">
      <c r="A2433" s="59"/>
      <c r="B2433" s="59"/>
      <c r="C2433" s="59"/>
      <c r="D2433" s="59"/>
      <c r="E2433" s="59"/>
    </row>
    <row r="2434">
      <c r="A2434" s="59"/>
      <c r="B2434" s="59"/>
      <c r="C2434" s="59"/>
      <c r="D2434" s="59"/>
      <c r="E2434" s="59"/>
    </row>
    <row r="2435">
      <c r="A2435" s="59"/>
      <c r="B2435" s="59"/>
      <c r="C2435" s="59"/>
      <c r="D2435" s="59"/>
      <c r="E2435" s="59"/>
    </row>
    <row r="2436">
      <c r="A2436" s="59"/>
      <c r="B2436" s="59"/>
      <c r="C2436" s="59"/>
      <c r="D2436" s="59"/>
      <c r="E2436" s="59"/>
    </row>
    <row r="2437">
      <c r="A2437" s="59"/>
      <c r="B2437" s="59"/>
      <c r="C2437" s="59"/>
      <c r="D2437" s="59"/>
      <c r="E2437" s="59"/>
    </row>
    <row r="2438">
      <c r="A2438" s="59"/>
      <c r="B2438" s="59"/>
      <c r="C2438" s="59"/>
      <c r="D2438" s="59"/>
      <c r="E2438" s="59"/>
    </row>
    <row r="2439">
      <c r="A2439" s="59"/>
      <c r="B2439" s="59"/>
      <c r="C2439" s="59"/>
      <c r="D2439" s="59"/>
      <c r="E2439" s="59"/>
    </row>
    <row r="2440">
      <c r="A2440" s="59"/>
      <c r="B2440" s="59"/>
      <c r="C2440" s="59"/>
      <c r="D2440" s="59"/>
      <c r="E2440" s="59"/>
    </row>
    <row r="2441">
      <c r="A2441" s="59"/>
      <c r="B2441" s="59"/>
      <c r="C2441" s="59"/>
      <c r="D2441" s="59"/>
      <c r="E2441" s="59"/>
    </row>
    <row r="2442">
      <c r="A2442" s="59"/>
      <c r="B2442" s="59"/>
      <c r="C2442" s="59"/>
      <c r="D2442" s="59"/>
      <c r="E2442" s="59"/>
    </row>
    <row r="2443">
      <c r="A2443" s="59"/>
      <c r="B2443" s="59"/>
      <c r="C2443" s="59"/>
      <c r="D2443" s="59"/>
      <c r="E2443" s="59"/>
    </row>
    <row r="2444">
      <c r="A2444" s="59"/>
      <c r="B2444" s="59"/>
      <c r="C2444" s="59"/>
      <c r="D2444" s="59"/>
      <c r="E2444" s="59"/>
    </row>
    <row r="2445">
      <c r="A2445" s="59"/>
      <c r="B2445" s="59"/>
      <c r="C2445" s="59"/>
      <c r="D2445" s="59"/>
      <c r="E2445" s="59"/>
    </row>
    <row r="2446">
      <c r="A2446" s="59"/>
      <c r="B2446" s="59"/>
      <c r="C2446" s="59"/>
      <c r="D2446" s="59"/>
      <c r="E2446" s="59"/>
    </row>
    <row r="2447">
      <c r="A2447" s="59"/>
      <c r="B2447" s="59"/>
      <c r="C2447" s="59"/>
      <c r="D2447" s="59"/>
      <c r="E2447" s="59"/>
    </row>
    <row r="2448">
      <c r="A2448" s="59"/>
      <c r="B2448" s="59"/>
      <c r="C2448" s="59"/>
      <c r="D2448" s="59"/>
      <c r="E2448" s="59"/>
    </row>
    <row r="2449">
      <c r="A2449" s="59"/>
      <c r="B2449" s="59"/>
      <c r="C2449" s="59"/>
      <c r="D2449" s="59"/>
      <c r="E2449" s="59"/>
    </row>
    <row r="2450">
      <c r="A2450" s="59"/>
      <c r="B2450" s="59"/>
      <c r="C2450" s="59"/>
      <c r="D2450" s="59"/>
      <c r="E2450" s="59"/>
    </row>
    <row r="2451">
      <c r="A2451" s="59"/>
      <c r="B2451" s="59"/>
      <c r="C2451" s="59"/>
      <c r="D2451" s="59"/>
      <c r="E2451" s="59"/>
    </row>
    <row r="2452">
      <c r="A2452" s="59"/>
      <c r="B2452" s="59"/>
      <c r="C2452" s="59"/>
      <c r="D2452" s="59"/>
      <c r="E2452" s="59"/>
    </row>
    <row r="2453">
      <c r="A2453" s="59"/>
      <c r="B2453" s="59"/>
      <c r="C2453" s="59"/>
      <c r="D2453" s="59"/>
      <c r="E2453" s="59"/>
    </row>
    <row r="2454">
      <c r="A2454" s="59"/>
      <c r="B2454" s="59"/>
      <c r="C2454" s="59"/>
      <c r="D2454" s="59"/>
      <c r="E2454" s="59"/>
    </row>
    <row r="2455">
      <c r="A2455" s="59"/>
      <c r="B2455" s="59"/>
      <c r="C2455" s="59"/>
      <c r="D2455" s="59"/>
      <c r="E2455" s="59"/>
    </row>
    <row r="2456">
      <c r="A2456" s="59"/>
      <c r="B2456" s="59"/>
      <c r="C2456" s="59"/>
      <c r="D2456" s="59"/>
      <c r="E2456" s="59"/>
    </row>
    <row r="2457">
      <c r="A2457" s="59"/>
      <c r="B2457" s="59"/>
      <c r="C2457" s="59"/>
      <c r="D2457" s="59"/>
      <c r="E2457" s="59"/>
    </row>
    <row r="2458">
      <c r="A2458" s="59"/>
      <c r="B2458" s="59"/>
      <c r="C2458" s="59"/>
      <c r="D2458" s="59"/>
      <c r="E2458" s="59"/>
    </row>
    <row r="2459">
      <c r="A2459" s="59"/>
      <c r="B2459" s="59"/>
      <c r="C2459" s="59"/>
      <c r="D2459" s="59"/>
      <c r="E2459" s="59"/>
    </row>
    <row r="2460">
      <c r="A2460" s="59"/>
      <c r="B2460" s="59"/>
      <c r="C2460" s="59"/>
      <c r="D2460" s="59"/>
      <c r="E2460" s="59"/>
    </row>
    <row r="2461">
      <c r="A2461" s="59"/>
      <c r="B2461" s="59"/>
      <c r="C2461" s="59"/>
      <c r="D2461" s="59"/>
      <c r="E2461" s="59"/>
    </row>
    <row r="2462">
      <c r="A2462" s="59"/>
      <c r="B2462" s="59"/>
      <c r="C2462" s="59"/>
      <c r="D2462" s="59"/>
      <c r="E2462" s="59"/>
    </row>
    <row r="2463">
      <c r="A2463" s="4"/>
      <c r="B2463" s="4"/>
      <c r="C2463" s="4"/>
      <c r="D2463" s="4"/>
      <c r="E2463" s="6"/>
    </row>
    <row r="2464">
      <c r="A2464" s="4"/>
      <c r="B2464" s="4"/>
      <c r="C2464" s="4"/>
      <c r="D2464" s="4"/>
      <c r="E2464" s="6"/>
    </row>
    <row r="2465">
      <c r="A2465" s="4"/>
      <c r="B2465" s="4"/>
      <c r="C2465" s="4"/>
      <c r="D2465" s="4"/>
      <c r="E2465" s="48"/>
    </row>
    <row r="2466">
      <c r="A2466" s="4"/>
      <c r="B2466" s="4"/>
      <c r="C2466" s="4"/>
      <c r="D2466" s="4"/>
      <c r="E2466" s="48"/>
    </row>
    <row r="2467">
      <c r="A2467" s="4"/>
      <c r="B2467" s="4"/>
      <c r="C2467" s="4"/>
      <c r="D2467" s="4"/>
      <c r="E2467" s="6"/>
    </row>
    <row r="2468">
      <c r="A2468" s="59"/>
      <c r="B2468" s="59"/>
      <c r="C2468" s="59"/>
      <c r="D2468" s="59"/>
      <c r="E2468" s="59"/>
    </row>
    <row r="2469">
      <c r="A2469" s="59"/>
      <c r="B2469" s="59"/>
      <c r="C2469" s="59"/>
      <c r="D2469" s="59"/>
      <c r="E2469" s="59"/>
    </row>
    <row r="2470">
      <c r="A2470" s="59"/>
      <c r="B2470" s="59"/>
      <c r="C2470" s="59"/>
      <c r="D2470" s="59"/>
      <c r="E2470" s="59"/>
    </row>
    <row r="2471">
      <c r="A2471" s="59"/>
      <c r="B2471" s="59"/>
      <c r="C2471" s="59"/>
      <c r="D2471" s="59"/>
      <c r="E2471" s="59"/>
    </row>
    <row r="2472">
      <c r="A2472" s="59"/>
      <c r="B2472" s="59"/>
      <c r="C2472" s="59"/>
      <c r="D2472" s="59"/>
      <c r="E2472" s="59"/>
    </row>
    <row r="2473">
      <c r="A2473" s="4"/>
      <c r="B2473" s="4"/>
      <c r="C2473" s="4"/>
      <c r="D2473" s="4"/>
      <c r="E2473" s="6"/>
    </row>
    <row r="2474">
      <c r="A2474" s="4"/>
      <c r="B2474" s="4"/>
      <c r="C2474" s="4"/>
      <c r="D2474" s="4"/>
      <c r="E2474" s="48"/>
    </row>
    <row r="2475">
      <c r="A2475" s="4"/>
      <c r="B2475" s="4"/>
      <c r="C2475" s="4"/>
      <c r="D2475" s="4"/>
      <c r="E2475" s="48"/>
    </row>
    <row r="2476">
      <c r="A2476" s="4"/>
      <c r="B2476" s="4"/>
      <c r="C2476" s="4"/>
      <c r="D2476" s="4"/>
      <c r="E2476" s="48"/>
    </row>
    <row r="2477">
      <c r="A2477" s="4"/>
      <c r="B2477" s="14"/>
      <c r="C2477" s="4"/>
      <c r="D2477" s="4"/>
      <c r="E2477" s="15"/>
    </row>
    <row r="2478">
      <c r="A2478" s="4"/>
      <c r="B2478" s="4"/>
      <c r="C2478" s="4"/>
      <c r="D2478" s="4"/>
      <c r="E2478" s="48"/>
    </row>
    <row r="2479">
      <c r="A2479" s="59"/>
      <c r="B2479" s="59"/>
      <c r="C2479" s="59"/>
      <c r="D2479" s="59"/>
      <c r="E2479" s="59"/>
    </row>
    <row r="2480">
      <c r="A2480" s="59"/>
      <c r="B2480" s="59"/>
      <c r="C2480" s="59"/>
      <c r="D2480" s="59"/>
      <c r="E2480" s="59"/>
    </row>
    <row r="2481">
      <c r="A2481" s="59"/>
      <c r="B2481" s="59"/>
      <c r="C2481" s="59"/>
      <c r="D2481" s="59"/>
      <c r="E2481" s="59"/>
    </row>
    <row r="2482">
      <c r="A2482" s="59"/>
      <c r="B2482" s="59"/>
      <c r="C2482" s="59"/>
      <c r="D2482" s="59"/>
      <c r="E2482" s="59"/>
    </row>
    <row r="2483">
      <c r="A2483" s="59"/>
      <c r="B2483" s="59"/>
      <c r="C2483" s="59"/>
      <c r="D2483" s="59"/>
      <c r="E2483" s="59"/>
    </row>
    <row r="2484">
      <c r="A2484" s="4"/>
      <c r="B2484" s="4"/>
      <c r="C2484" s="4"/>
      <c r="D2484" s="4"/>
      <c r="E2484" s="6"/>
    </row>
    <row r="2485">
      <c r="A2485" s="4"/>
      <c r="B2485" s="4"/>
      <c r="C2485" s="4"/>
      <c r="D2485" s="4"/>
      <c r="E2485" s="6"/>
    </row>
    <row r="2486">
      <c r="A2486" s="4"/>
      <c r="B2486" s="4"/>
      <c r="C2486" s="4"/>
      <c r="D2486" s="4"/>
      <c r="E2486" s="6"/>
    </row>
    <row r="2487">
      <c r="A2487" s="4"/>
      <c r="B2487" s="4"/>
      <c r="C2487" s="4"/>
      <c r="D2487" s="4"/>
      <c r="E2487" s="6"/>
    </row>
    <row r="2488">
      <c r="A2488" s="4"/>
      <c r="B2488" s="4"/>
      <c r="C2488" s="17"/>
      <c r="D2488" s="4"/>
      <c r="E2488" s="6"/>
    </row>
    <row r="2489">
      <c r="A2489" s="59"/>
      <c r="B2489" s="59"/>
      <c r="C2489" s="59"/>
      <c r="D2489" s="59"/>
      <c r="E2489" s="59"/>
    </row>
    <row r="2490">
      <c r="A2490" s="59"/>
      <c r="B2490" s="59"/>
      <c r="C2490" s="59"/>
      <c r="D2490" s="59"/>
      <c r="E2490" s="59"/>
    </row>
    <row r="2491">
      <c r="A2491" s="59"/>
      <c r="B2491" s="59"/>
      <c r="C2491" s="59"/>
      <c r="D2491" s="59"/>
      <c r="E2491" s="59"/>
    </row>
    <row r="2492">
      <c r="A2492" s="59"/>
      <c r="B2492" s="59"/>
      <c r="C2492" s="59"/>
      <c r="D2492" s="59"/>
      <c r="E2492" s="59"/>
    </row>
    <row r="2493">
      <c r="A2493" s="59"/>
      <c r="B2493" s="59"/>
      <c r="C2493" s="59"/>
      <c r="D2493" s="59"/>
      <c r="E2493" s="59"/>
    </row>
    <row r="2494">
      <c r="A2494" s="59"/>
      <c r="B2494" s="59"/>
      <c r="C2494" s="59"/>
      <c r="D2494" s="59"/>
      <c r="E2494" s="59"/>
    </row>
    <row r="2495">
      <c r="A2495" s="59"/>
      <c r="B2495" s="59"/>
      <c r="C2495" s="59"/>
      <c r="D2495" s="59"/>
      <c r="E2495" s="59"/>
    </row>
    <row r="2496">
      <c r="A2496" s="59"/>
      <c r="B2496" s="59"/>
      <c r="C2496" s="59"/>
      <c r="D2496" s="59"/>
      <c r="E2496" s="59"/>
    </row>
    <row r="2497">
      <c r="A2497" s="59"/>
      <c r="B2497" s="59"/>
      <c r="C2497" s="59"/>
      <c r="D2497" s="59"/>
      <c r="E2497" s="59"/>
    </row>
    <row r="2498">
      <c r="A2498" s="59"/>
      <c r="B2498" s="59"/>
      <c r="C2498" s="59"/>
      <c r="D2498" s="59"/>
      <c r="E2498" s="59"/>
    </row>
    <row r="2499">
      <c r="A2499" s="59"/>
      <c r="B2499" s="59"/>
      <c r="C2499" s="59"/>
      <c r="D2499" s="59"/>
      <c r="E2499" s="59"/>
    </row>
    <row r="2500">
      <c r="A2500" s="59"/>
      <c r="B2500" s="59"/>
      <c r="C2500" s="59"/>
      <c r="D2500" s="59"/>
      <c r="E2500" s="59"/>
    </row>
    <row r="2501">
      <c r="A2501" s="59"/>
      <c r="B2501" s="59"/>
      <c r="C2501" s="59"/>
      <c r="D2501" s="59"/>
      <c r="E2501" s="59"/>
    </row>
    <row r="2502">
      <c r="A2502" s="59"/>
      <c r="B2502" s="59"/>
      <c r="C2502" s="59"/>
      <c r="D2502" s="59"/>
      <c r="E2502" s="59"/>
    </row>
    <row r="2503">
      <c r="A2503" s="59"/>
      <c r="B2503" s="59"/>
      <c r="C2503" s="59"/>
      <c r="D2503" s="59"/>
      <c r="E2503" s="59"/>
    </row>
    <row r="2504">
      <c r="A2504" s="59"/>
      <c r="B2504" s="59"/>
      <c r="C2504" s="59"/>
      <c r="D2504" s="59"/>
      <c r="E2504" s="59"/>
    </row>
    <row r="2505">
      <c r="A2505" s="59"/>
      <c r="B2505" s="59"/>
      <c r="C2505" s="59"/>
      <c r="D2505" s="59"/>
      <c r="E2505" s="59"/>
    </row>
    <row r="2506">
      <c r="A2506" s="59"/>
      <c r="B2506" s="59"/>
      <c r="C2506" s="59"/>
      <c r="D2506" s="59"/>
      <c r="E2506" s="59"/>
    </row>
    <row r="2507">
      <c r="A2507" s="59"/>
      <c r="B2507" s="59"/>
      <c r="C2507" s="59"/>
      <c r="D2507" s="59"/>
      <c r="E2507" s="59"/>
    </row>
    <row r="2508">
      <c r="A2508" s="59"/>
      <c r="B2508" s="59"/>
      <c r="C2508" s="59"/>
      <c r="D2508" s="59"/>
      <c r="E2508" s="59"/>
    </row>
    <row r="2509">
      <c r="A2509" s="59"/>
      <c r="B2509" s="59"/>
      <c r="C2509" s="59"/>
      <c r="D2509" s="59"/>
      <c r="E2509" s="59"/>
    </row>
    <row r="2510">
      <c r="A2510" s="59"/>
      <c r="B2510" s="59"/>
      <c r="C2510" s="59"/>
      <c r="D2510" s="59"/>
      <c r="E2510" s="59"/>
    </row>
    <row r="2511">
      <c r="A2511" s="59"/>
      <c r="B2511" s="59"/>
      <c r="C2511" s="59"/>
      <c r="D2511" s="59"/>
      <c r="E2511" s="59"/>
    </row>
    <row r="2512">
      <c r="A2512" s="59"/>
      <c r="B2512" s="59"/>
      <c r="C2512" s="59"/>
      <c r="D2512" s="59"/>
      <c r="E2512" s="59"/>
    </row>
    <row r="2513">
      <c r="A2513" s="59"/>
      <c r="B2513" s="59"/>
      <c r="C2513" s="59"/>
      <c r="D2513" s="59"/>
      <c r="E2513" s="59"/>
    </row>
    <row r="2514">
      <c r="A2514" s="59"/>
      <c r="B2514" s="59"/>
      <c r="C2514" s="59"/>
      <c r="D2514" s="59"/>
      <c r="E2514" s="59"/>
    </row>
    <row r="2515">
      <c r="A2515" s="59"/>
      <c r="B2515" s="59"/>
      <c r="C2515" s="59"/>
      <c r="D2515" s="59"/>
      <c r="E2515" s="59"/>
    </row>
    <row r="2516">
      <c r="A2516" s="59"/>
      <c r="B2516" s="59"/>
      <c r="C2516" s="59"/>
      <c r="D2516" s="59"/>
      <c r="E2516" s="59"/>
    </row>
    <row r="2517">
      <c r="A2517" s="59"/>
      <c r="B2517" s="59"/>
      <c r="C2517" s="59"/>
      <c r="D2517" s="59"/>
      <c r="E2517" s="59"/>
    </row>
    <row r="2518">
      <c r="A2518" s="59"/>
      <c r="B2518" s="59"/>
      <c r="C2518" s="59"/>
      <c r="D2518" s="59"/>
      <c r="E2518" s="59"/>
    </row>
    <row r="2519">
      <c r="A2519" s="59"/>
      <c r="B2519" s="59"/>
      <c r="C2519" s="59"/>
      <c r="D2519" s="59"/>
      <c r="E2519" s="59"/>
    </row>
    <row r="2520">
      <c r="A2520" s="59"/>
      <c r="B2520" s="59"/>
      <c r="C2520" s="59"/>
      <c r="D2520" s="59"/>
      <c r="E2520" s="59"/>
    </row>
    <row r="2521">
      <c r="A2521" s="4"/>
      <c r="B2521" s="4"/>
      <c r="C2521" s="4"/>
      <c r="D2521" s="4"/>
      <c r="E2521" s="6"/>
    </row>
    <row r="2522">
      <c r="A2522" s="4"/>
      <c r="B2522" s="4"/>
      <c r="C2522" s="4"/>
      <c r="D2522" s="4"/>
      <c r="E2522" s="6"/>
    </row>
    <row r="2523">
      <c r="A2523" s="4"/>
      <c r="B2523" s="4"/>
      <c r="C2523" s="4"/>
      <c r="D2523" s="4"/>
      <c r="E2523" s="6"/>
    </row>
    <row r="2524">
      <c r="A2524" s="4"/>
      <c r="B2524" s="4"/>
      <c r="C2524" s="4"/>
      <c r="D2524" s="4"/>
      <c r="E2524" s="6"/>
    </row>
    <row r="2525">
      <c r="A2525" s="59"/>
      <c r="B2525" s="59"/>
      <c r="C2525" s="59"/>
      <c r="D2525" s="59"/>
      <c r="E2525" s="59"/>
    </row>
    <row r="2526">
      <c r="A2526" s="59"/>
      <c r="B2526" s="59"/>
      <c r="C2526" s="59"/>
      <c r="D2526" s="59"/>
      <c r="E2526" s="59"/>
    </row>
    <row r="2527">
      <c r="A2527" s="59"/>
      <c r="B2527" s="59"/>
      <c r="C2527" s="59"/>
      <c r="D2527" s="59"/>
      <c r="E2527" s="59"/>
    </row>
    <row r="2528">
      <c r="A2528" s="59"/>
      <c r="B2528" s="59"/>
      <c r="C2528" s="59"/>
      <c r="D2528" s="59"/>
      <c r="E2528" s="59"/>
    </row>
    <row r="2529">
      <c r="A2529" s="59"/>
      <c r="B2529" s="59"/>
      <c r="C2529" s="59"/>
      <c r="D2529" s="59"/>
      <c r="E2529" s="59"/>
    </row>
    <row r="2530">
      <c r="A2530" s="4"/>
      <c r="B2530" s="4"/>
      <c r="C2530" s="4"/>
      <c r="D2530" s="4"/>
      <c r="E2530" s="6"/>
    </row>
    <row r="2531">
      <c r="A2531" s="4"/>
      <c r="B2531" s="4"/>
      <c r="C2531" s="4"/>
      <c r="D2531" s="4"/>
      <c r="E2531" s="6"/>
    </row>
    <row r="2532">
      <c r="A2532" s="4"/>
      <c r="B2532" s="4"/>
      <c r="C2532" s="4"/>
      <c r="D2532" s="4"/>
      <c r="E2532" s="64"/>
    </row>
    <row r="2533">
      <c r="A2533" s="59"/>
      <c r="B2533" s="59"/>
      <c r="C2533" s="59"/>
      <c r="D2533" s="59"/>
      <c r="E2533" s="59"/>
    </row>
    <row r="2534">
      <c r="A2534" s="59"/>
      <c r="B2534" s="59"/>
      <c r="C2534" s="59"/>
      <c r="D2534" s="59"/>
      <c r="E2534" s="59"/>
    </row>
    <row r="2535">
      <c r="A2535" s="59"/>
      <c r="B2535" s="59"/>
      <c r="C2535" s="59"/>
      <c r="D2535" s="59"/>
      <c r="E2535" s="59"/>
    </row>
    <row r="2536">
      <c r="A2536" s="59"/>
      <c r="B2536" s="59"/>
      <c r="C2536" s="59"/>
      <c r="D2536" s="59"/>
      <c r="E2536" s="59"/>
    </row>
    <row r="2537">
      <c r="A2537" s="59"/>
      <c r="B2537" s="59"/>
      <c r="C2537" s="59"/>
      <c r="D2537" s="59"/>
      <c r="E2537" s="59"/>
    </row>
    <row r="2538">
      <c r="A2538" s="59"/>
      <c r="B2538" s="59"/>
      <c r="C2538" s="59"/>
      <c r="D2538" s="59"/>
      <c r="E2538" s="59"/>
    </row>
    <row r="2539">
      <c r="A2539" s="59"/>
      <c r="B2539" s="59"/>
      <c r="C2539" s="59"/>
      <c r="D2539" s="59"/>
      <c r="E2539" s="59"/>
    </row>
    <row r="2540">
      <c r="A2540" s="59"/>
      <c r="B2540" s="59"/>
      <c r="C2540" s="59"/>
      <c r="D2540" s="59"/>
      <c r="E2540" s="59"/>
    </row>
    <row r="2541">
      <c r="A2541" s="59"/>
      <c r="B2541" s="59"/>
      <c r="C2541" s="59"/>
      <c r="D2541" s="59"/>
      <c r="E2541" s="59"/>
    </row>
    <row r="2542">
      <c r="A2542" s="59"/>
      <c r="B2542" s="59"/>
      <c r="C2542" s="59"/>
      <c r="D2542" s="59"/>
      <c r="E2542" s="59"/>
    </row>
    <row r="2543">
      <c r="A2543" s="59"/>
      <c r="B2543" s="59"/>
      <c r="C2543" s="59"/>
      <c r="D2543" s="59"/>
      <c r="E2543" s="59"/>
    </row>
    <row r="2544">
      <c r="A2544" s="59"/>
      <c r="B2544" s="59"/>
      <c r="C2544" s="59"/>
      <c r="D2544" s="59"/>
      <c r="E2544" s="59"/>
    </row>
    <row r="2545">
      <c r="A2545" s="4"/>
      <c r="B2545" s="4"/>
      <c r="C2545" s="17"/>
      <c r="D2545" s="4"/>
      <c r="E2545" s="48"/>
    </row>
    <row r="2546">
      <c r="A2546" s="4"/>
      <c r="B2546" s="4"/>
      <c r="C2546" s="17"/>
      <c r="D2546" s="4"/>
      <c r="E2546" s="48"/>
    </row>
    <row r="2547">
      <c r="A2547" s="4"/>
      <c r="B2547" s="4"/>
      <c r="C2547" s="4"/>
      <c r="D2547" s="4"/>
      <c r="E2547" s="6"/>
    </row>
    <row r="2548">
      <c r="A2548" s="4"/>
      <c r="B2548" s="4"/>
      <c r="C2548" s="4"/>
      <c r="D2548" s="4"/>
      <c r="E2548" s="6"/>
    </row>
    <row r="2549">
      <c r="A2549" s="59"/>
      <c r="B2549" s="59"/>
      <c r="C2549" s="59"/>
      <c r="D2549" s="59"/>
      <c r="E2549" s="59"/>
    </row>
    <row r="2550">
      <c r="A2550" s="59"/>
      <c r="B2550" s="59"/>
      <c r="C2550" s="59"/>
      <c r="D2550" s="59"/>
      <c r="E2550" s="59"/>
    </row>
    <row r="2551">
      <c r="A2551" s="59"/>
      <c r="B2551" s="59"/>
      <c r="C2551" s="59"/>
      <c r="D2551" s="59"/>
      <c r="E2551" s="59"/>
    </row>
    <row r="2552">
      <c r="A2552" s="59"/>
      <c r="B2552" s="59"/>
      <c r="C2552" s="59"/>
      <c r="D2552" s="59"/>
      <c r="E2552" s="59"/>
    </row>
    <row r="2553">
      <c r="A2553" s="59"/>
      <c r="B2553" s="59"/>
      <c r="C2553" s="59"/>
      <c r="D2553" s="59"/>
      <c r="E2553" s="59"/>
    </row>
    <row r="2554">
      <c r="A2554" s="59"/>
      <c r="B2554" s="59"/>
      <c r="C2554" s="59"/>
      <c r="D2554" s="59"/>
      <c r="E2554" s="59"/>
    </row>
    <row r="2555">
      <c r="A2555" s="59"/>
      <c r="B2555" s="59"/>
      <c r="C2555" s="59"/>
      <c r="D2555" s="59"/>
      <c r="E2555" s="59"/>
    </row>
    <row r="2556">
      <c r="A2556" s="59"/>
      <c r="B2556" s="59"/>
      <c r="C2556" s="59"/>
      <c r="D2556" s="59"/>
      <c r="E2556" s="59"/>
    </row>
    <row r="2557">
      <c r="A2557" s="59"/>
      <c r="B2557" s="59"/>
      <c r="C2557" s="59"/>
      <c r="D2557" s="59"/>
      <c r="E2557" s="59"/>
    </row>
    <row r="2558">
      <c r="A2558" s="59"/>
      <c r="B2558" s="59"/>
      <c r="C2558" s="59"/>
      <c r="D2558" s="59"/>
      <c r="E2558" s="59"/>
    </row>
    <row r="2559">
      <c r="A2559" s="59"/>
      <c r="B2559" s="59"/>
      <c r="C2559" s="59"/>
      <c r="D2559" s="59"/>
      <c r="E2559" s="59"/>
    </row>
    <row r="2560">
      <c r="A2560" s="59"/>
      <c r="B2560" s="59"/>
      <c r="C2560" s="59"/>
      <c r="D2560" s="59"/>
      <c r="E2560" s="59"/>
    </row>
    <row r="2561">
      <c r="A2561" s="59"/>
      <c r="B2561" s="59"/>
      <c r="C2561" s="59"/>
      <c r="D2561" s="59"/>
      <c r="E2561" s="59"/>
    </row>
    <row r="2562">
      <c r="A2562" s="59"/>
      <c r="B2562" s="59"/>
      <c r="C2562" s="59"/>
      <c r="D2562" s="59"/>
      <c r="E2562" s="59"/>
    </row>
    <row r="2563">
      <c r="A2563" s="59"/>
      <c r="B2563" s="59"/>
      <c r="C2563" s="59"/>
      <c r="D2563" s="59"/>
      <c r="E2563" s="59"/>
    </row>
    <row r="2564">
      <c r="A2564" s="59"/>
      <c r="B2564" s="59"/>
      <c r="C2564" s="59"/>
      <c r="D2564" s="59"/>
      <c r="E2564" s="59"/>
    </row>
    <row r="2565">
      <c r="A2565" s="59"/>
      <c r="B2565" s="59"/>
      <c r="C2565" s="59"/>
      <c r="D2565" s="59"/>
      <c r="E2565" s="59"/>
    </row>
    <row r="2566">
      <c r="A2566" s="59"/>
      <c r="B2566" s="59"/>
      <c r="C2566" s="59"/>
      <c r="D2566" s="59"/>
      <c r="E2566" s="59"/>
    </row>
    <row r="2567">
      <c r="A2567" s="59"/>
      <c r="B2567" s="59"/>
      <c r="C2567" s="59"/>
      <c r="D2567" s="59"/>
      <c r="E2567" s="59"/>
    </row>
    <row r="2568">
      <c r="A2568" s="59"/>
      <c r="B2568" s="59"/>
      <c r="C2568" s="59"/>
      <c r="D2568" s="59"/>
      <c r="E2568" s="59"/>
    </row>
    <row r="2569">
      <c r="A2569" s="59"/>
      <c r="B2569" s="59"/>
      <c r="C2569" s="59"/>
      <c r="D2569" s="59"/>
      <c r="E2569" s="59"/>
    </row>
    <row r="2570">
      <c r="A2570" s="59"/>
      <c r="B2570" s="59"/>
      <c r="C2570" s="59"/>
      <c r="D2570" s="59"/>
      <c r="E2570" s="59"/>
    </row>
    <row r="2571">
      <c r="A2571" s="59"/>
      <c r="B2571" s="59"/>
      <c r="C2571" s="59"/>
      <c r="D2571" s="59"/>
      <c r="E2571" s="59"/>
    </row>
    <row r="2572">
      <c r="A2572" s="59"/>
      <c r="B2572" s="59"/>
      <c r="C2572" s="59"/>
      <c r="D2572" s="59"/>
      <c r="E2572" s="59"/>
    </row>
    <row r="2573">
      <c r="A2573" s="62"/>
      <c r="B2573" s="62"/>
      <c r="C2573" s="62"/>
      <c r="D2573" s="62"/>
      <c r="E2573" s="62"/>
    </row>
    <row r="2574">
      <c r="A2574" s="59"/>
      <c r="B2574" s="59"/>
      <c r="C2574" s="59"/>
      <c r="D2574" s="59"/>
      <c r="E2574" s="59"/>
    </row>
    <row r="2575">
      <c r="A2575" s="59"/>
      <c r="B2575" s="59"/>
      <c r="C2575" s="59"/>
      <c r="D2575" s="59"/>
      <c r="E2575" s="59"/>
    </row>
    <row r="2576">
      <c r="A2576" s="59"/>
      <c r="B2576" s="59"/>
      <c r="C2576" s="59"/>
      <c r="D2576" s="59"/>
      <c r="E2576" s="59"/>
    </row>
    <row r="2577">
      <c r="A2577" s="59"/>
      <c r="B2577" s="59"/>
      <c r="C2577" s="59"/>
      <c r="D2577" s="59"/>
      <c r="E2577" s="59"/>
    </row>
    <row r="2578">
      <c r="A2578" s="59"/>
      <c r="B2578" s="59"/>
      <c r="C2578" s="59"/>
      <c r="D2578" s="59"/>
      <c r="E2578" s="59"/>
    </row>
    <row r="2579">
      <c r="A2579" s="59"/>
      <c r="B2579" s="59"/>
      <c r="C2579" s="59"/>
      <c r="D2579" s="59"/>
      <c r="E2579" s="59"/>
    </row>
    <row r="2580">
      <c r="A2580" s="62"/>
      <c r="B2580" s="62"/>
      <c r="C2580" s="62"/>
      <c r="D2580" s="62"/>
      <c r="E2580" s="62"/>
    </row>
    <row r="2581">
      <c r="A2581" s="62"/>
      <c r="B2581" s="62"/>
      <c r="C2581" s="62"/>
      <c r="D2581" s="62"/>
      <c r="E2581" s="62"/>
    </row>
    <row r="2582">
      <c r="A2582" s="62"/>
      <c r="B2582" s="62"/>
      <c r="C2582" s="62"/>
      <c r="D2582" s="62"/>
      <c r="E2582" s="62"/>
    </row>
    <row r="2583">
      <c r="A2583" s="59"/>
      <c r="B2583" s="59"/>
      <c r="C2583" s="59"/>
      <c r="D2583" s="59"/>
      <c r="E2583" s="59"/>
    </row>
    <row r="2584">
      <c r="A2584" s="59"/>
      <c r="B2584" s="59"/>
      <c r="C2584" s="59"/>
      <c r="D2584" s="59"/>
      <c r="E2584" s="59"/>
    </row>
    <row r="2585">
      <c r="A2585" s="59"/>
      <c r="B2585" s="59"/>
      <c r="C2585" s="59"/>
      <c r="D2585" s="59"/>
      <c r="E2585" s="59"/>
    </row>
    <row r="2586">
      <c r="A2586" s="59"/>
      <c r="B2586" s="59"/>
      <c r="C2586" s="59"/>
      <c r="D2586" s="59"/>
      <c r="E2586" s="59"/>
    </row>
    <row r="2587">
      <c r="A2587" s="59"/>
      <c r="B2587" s="59"/>
      <c r="C2587" s="59"/>
      <c r="D2587" s="59"/>
      <c r="E2587" s="59"/>
    </row>
    <row r="2588">
      <c r="A2588" s="59"/>
      <c r="B2588" s="59"/>
      <c r="C2588" s="59"/>
      <c r="D2588" s="59"/>
      <c r="E2588" s="59"/>
    </row>
    <row r="2589">
      <c r="A2589" s="59"/>
      <c r="B2589" s="59"/>
      <c r="C2589" s="59"/>
      <c r="D2589" s="59"/>
      <c r="E2589" s="59"/>
    </row>
    <row r="2590">
      <c r="A2590" s="59"/>
      <c r="B2590" s="59"/>
      <c r="C2590" s="59"/>
      <c r="D2590" s="59"/>
      <c r="E2590" s="59"/>
    </row>
    <row r="2591">
      <c r="A2591" s="59"/>
      <c r="B2591" s="59"/>
      <c r="C2591" s="59"/>
      <c r="D2591" s="59"/>
      <c r="E2591" s="59"/>
    </row>
    <row r="2592">
      <c r="A2592" s="59"/>
      <c r="B2592" s="59"/>
      <c r="C2592" s="59"/>
      <c r="D2592" s="59"/>
      <c r="E2592" s="59"/>
    </row>
    <row r="2593">
      <c r="A2593" s="59"/>
      <c r="B2593" s="59"/>
      <c r="C2593" s="59"/>
      <c r="D2593" s="59"/>
      <c r="E2593" s="59"/>
    </row>
    <row r="2594">
      <c r="A2594" s="59"/>
      <c r="B2594" s="59"/>
      <c r="C2594" s="59"/>
      <c r="D2594" s="59"/>
      <c r="E2594" s="59"/>
    </row>
    <row r="2595">
      <c r="A2595" s="59"/>
      <c r="B2595" s="59"/>
      <c r="C2595" s="59"/>
      <c r="D2595" s="59"/>
      <c r="E2595" s="59"/>
    </row>
    <row r="2596">
      <c r="A2596" s="59"/>
      <c r="B2596" s="59"/>
      <c r="C2596" s="59"/>
      <c r="D2596" s="59"/>
      <c r="E2596" s="59"/>
    </row>
    <row r="2597">
      <c r="A2597" s="59"/>
      <c r="B2597" s="59"/>
      <c r="C2597" s="59"/>
      <c r="D2597" s="59"/>
      <c r="E2597" s="59"/>
    </row>
    <row r="2598">
      <c r="A2598" s="62"/>
      <c r="B2598" s="62"/>
      <c r="C2598" s="62"/>
      <c r="D2598" s="62"/>
      <c r="E2598" s="62"/>
    </row>
    <row r="2599">
      <c r="A2599" s="62"/>
      <c r="B2599" s="62"/>
      <c r="C2599" s="62"/>
      <c r="D2599" s="62"/>
      <c r="E2599" s="62"/>
    </row>
    <row r="2600">
      <c r="A2600" s="62"/>
      <c r="B2600" s="62"/>
      <c r="C2600" s="62"/>
      <c r="D2600" s="62"/>
      <c r="E2600" s="62"/>
    </row>
    <row r="2601">
      <c r="A2601" s="62"/>
      <c r="B2601" s="62"/>
      <c r="C2601" s="62"/>
      <c r="D2601" s="62"/>
      <c r="E2601" s="62"/>
    </row>
    <row r="2602">
      <c r="A2602" s="62"/>
      <c r="B2602" s="62"/>
      <c r="C2602" s="62"/>
      <c r="D2602" s="62"/>
      <c r="E2602" s="62"/>
    </row>
    <row r="2603">
      <c r="A2603" s="62"/>
      <c r="B2603" s="62"/>
      <c r="C2603" s="62"/>
      <c r="D2603" s="62"/>
      <c r="E2603" s="62"/>
    </row>
    <row r="2604">
      <c r="A2604" s="59"/>
      <c r="B2604" s="59"/>
      <c r="C2604" s="59"/>
      <c r="D2604" s="59"/>
      <c r="E2604" s="59"/>
    </row>
    <row r="2605">
      <c r="A2605" s="59"/>
      <c r="B2605" s="59"/>
      <c r="C2605" s="59"/>
      <c r="D2605" s="59"/>
      <c r="E2605" s="59"/>
    </row>
    <row r="2606">
      <c r="A2606" s="59"/>
      <c r="B2606" s="59"/>
      <c r="C2606" s="59"/>
      <c r="D2606" s="59"/>
      <c r="E2606" s="59"/>
    </row>
    <row r="2607">
      <c r="A2607" s="59"/>
      <c r="B2607" s="59"/>
      <c r="C2607" s="59"/>
      <c r="D2607" s="59"/>
      <c r="E2607" s="59"/>
    </row>
    <row r="2608">
      <c r="A2608" s="59"/>
      <c r="B2608" s="59"/>
      <c r="C2608" s="59"/>
      <c r="D2608" s="59"/>
      <c r="E2608" s="59"/>
    </row>
    <row r="2609">
      <c r="A2609" s="59"/>
      <c r="B2609" s="59"/>
      <c r="C2609" s="59"/>
      <c r="D2609" s="59"/>
      <c r="E2609" s="59"/>
    </row>
    <row r="2610">
      <c r="A2610" s="59"/>
      <c r="B2610" s="59"/>
      <c r="C2610" s="59"/>
      <c r="D2610" s="59"/>
      <c r="E2610" s="59"/>
    </row>
    <row r="2611">
      <c r="A2611" s="59"/>
      <c r="B2611" s="59"/>
      <c r="C2611" s="59"/>
      <c r="D2611" s="59"/>
      <c r="E2611" s="59"/>
    </row>
    <row r="2612">
      <c r="A2612" s="59"/>
      <c r="B2612" s="59"/>
      <c r="C2612" s="59"/>
      <c r="D2612" s="59"/>
      <c r="E2612" s="59"/>
    </row>
    <row r="2613">
      <c r="A2613" s="59"/>
      <c r="B2613" s="59"/>
      <c r="C2613" s="59"/>
      <c r="D2613" s="59"/>
      <c r="E2613" s="59"/>
    </row>
    <row r="2614">
      <c r="A2614" s="59"/>
      <c r="B2614" s="59"/>
      <c r="C2614" s="59"/>
      <c r="D2614" s="59"/>
      <c r="E2614" s="59"/>
    </row>
    <row r="2615">
      <c r="A2615" s="59"/>
      <c r="B2615" s="59"/>
      <c r="C2615" s="59"/>
      <c r="D2615" s="59"/>
      <c r="E2615" s="59"/>
    </row>
    <row r="2616">
      <c r="A2616" s="59"/>
      <c r="B2616" s="59"/>
      <c r="C2616" s="59"/>
      <c r="D2616" s="59"/>
      <c r="E2616" s="59"/>
    </row>
    <row r="2617">
      <c r="A2617" s="59"/>
      <c r="B2617" s="59"/>
      <c r="C2617" s="59"/>
      <c r="D2617" s="59"/>
      <c r="E2617" s="59"/>
    </row>
    <row r="2618">
      <c r="A2618" s="59"/>
      <c r="B2618" s="59"/>
      <c r="C2618" s="59"/>
      <c r="D2618" s="59"/>
      <c r="E2618" s="59"/>
    </row>
    <row r="2619">
      <c r="A2619" s="59"/>
      <c r="B2619" s="59"/>
      <c r="C2619" s="59"/>
      <c r="D2619" s="59"/>
      <c r="E2619" s="59"/>
    </row>
    <row r="2620">
      <c r="A2620" s="59"/>
      <c r="B2620" s="59"/>
      <c r="C2620" s="59"/>
      <c r="D2620" s="59"/>
      <c r="E2620" s="59"/>
    </row>
    <row r="2621">
      <c r="A2621" s="59"/>
      <c r="B2621" s="59"/>
      <c r="C2621" s="59"/>
      <c r="D2621" s="59"/>
      <c r="E2621" s="59"/>
    </row>
    <row r="2622">
      <c r="A2622" s="59"/>
      <c r="B2622" s="59"/>
      <c r="C2622" s="59"/>
      <c r="D2622" s="59"/>
      <c r="E2622" s="59"/>
    </row>
    <row r="2623">
      <c r="A2623" s="4"/>
      <c r="B2623" s="4"/>
      <c r="C2623" s="4"/>
      <c r="D2623" s="4"/>
      <c r="E2623" s="6"/>
    </row>
    <row r="2624">
      <c r="A2624" s="4"/>
      <c r="B2624" s="4"/>
      <c r="C2624" s="4"/>
      <c r="D2624" s="4"/>
      <c r="E2624" s="6"/>
    </row>
    <row r="2625">
      <c r="A2625" s="4"/>
      <c r="B2625" s="4"/>
      <c r="C2625" s="4"/>
      <c r="D2625" s="4"/>
      <c r="E2625" s="6"/>
    </row>
    <row r="2626">
      <c r="A2626" s="4"/>
      <c r="B2626" s="4"/>
      <c r="C2626" s="4"/>
      <c r="D2626" s="4"/>
      <c r="E2626" s="6"/>
    </row>
    <row r="2627">
      <c r="A2627" s="4"/>
      <c r="B2627" s="4"/>
      <c r="C2627" s="4"/>
      <c r="D2627" s="4"/>
      <c r="E2627" s="6"/>
    </row>
    <row r="2628">
      <c r="A2628" s="59"/>
      <c r="B2628" s="59"/>
      <c r="C2628" s="59"/>
      <c r="D2628" s="59"/>
      <c r="E2628" s="59"/>
    </row>
    <row r="2629">
      <c r="A2629" s="59"/>
      <c r="B2629" s="59"/>
      <c r="C2629" s="59"/>
      <c r="D2629" s="59"/>
      <c r="E2629" s="59"/>
    </row>
    <row r="2630">
      <c r="A2630" s="59"/>
      <c r="B2630" s="59"/>
      <c r="C2630" s="59"/>
      <c r="D2630" s="59"/>
      <c r="E2630" s="59"/>
    </row>
    <row r="2631">
      <c r="A2631" s="59"/>
      <c r="B2631" s="59"/>
      <c r="C2631" s="59"/>
      <c r="D2631" s="59"/>
      <c r="E2631" s="59"/>
    </row>
    <row r="2632">
      <c r="A2632" s="59"/>
      <c r="B2632" s="59"/>
      <c r="C2632" s="59"/>
      <c r="D2632" s="59"/>
      <c r="E2632" s="59"/>
    </row>
    <row r="2633">
      <c r="A2633" s="59"/>
      <c r="B2633" s="59"/>
      <c r="C2633" s="59"/>
      <c r="D2633" s="59"/>
      <c r="E2633" s="59"/>
    </row>
    <row r="2634">
      <c r="A2634" s="59"/>
      <c r="B2634" s="59"/>
      <c r="C2634" s="59"/>
      <c r="D2634" s="59"/>
      <c r="E2634" s="59"/>
    </row>
    <row r="2635">
      <c r="A2635" s="59"/>
      <c r="B2635" s="59"/>
      <c r="C2635" s="59"/>
      <c r="D2635" s="59"/>
      <c r="E2635" s="59"/>
    </row>
    <row r="2636">
      <c r="A2636" s="59"/>
      <c r="B2636" s="59"/>
      <c r="C2636" s="59"/>
      <c r="D2636" s="59"/>
      <c r="E2636" s="59"/>
    </row>
    <row r="2637">
      <c r="A2637" s="59"/>
      <c r="B2637" s="59"/>
      <c r="C2637" s="59"/>
      <c r="D2637" s="59"/>
      <c r="E2637" s="59"/>
    </row>
    <row r="2638">
      <c r="A2638" s="59"/>
      <c r="B2638" s="59"/>
      <c r="C2638" s="59"/>
      <c r="D2638" s="59"/>
      <c r="E2638" s="59"/>
    </row>
    <row r="2639">
      <c r="A2639" s="59"/>
      <c r="B2639" s="59"/>
      <c r="C2639" s="59"/>
      <c r="D2639" s="59"/>
      <c r="E2639" s="59"/>
    </row>
    <row r="2640">
      <c r="A2640" s="59"/>
      <c r="B2640" s="59"/>
      <c r="C2640" s="59"/>
      <c r="D2640" s="59"/>
      <c r="E2640" s="59"/>
    </row>
    <row r="2641">
      <c r="A2641" s="59"/>
      <c r="B2641" s="59"/>
      <c r="C2641" s="59"/>
      <c r="D2641" s="59"/>
      <c r="E2641" s="59"/>
    </row>
    <row r="2642">
      <c r="A2642" s="59"/>
      <c r="B2642" s="59"/>
      <c r="C2642" s="59"/>
      <c r="D2642" s="59"/>
      <c r="E2642" s="59"/>
    </row>
    <row r="2643">
      <c r="A2643" s="59"/>
      <c r="B2643" s="59"/>
      <c r="C2643" s="59"/>
      <c r="D2643" s="59"/>
      <c r="E2643" s="59"/>
    </row>
    <row r="2644">
      <c r="A2644" s="59"/>
      <c r="B2644" s="59"/>
      <c r="C2644" s="59"/>
      <c r="D2644" s="59"/>
      <c r="E2644" s="59"/>
    </row>
    <row r="2645">
      <c r="A2645" s="59"/>
      <c r="B2645" s="59"/>
      <c r="C2645" s="59"/>
      <c r="D2645" s="59"/>
      <c r="E2645" s="59"/>
    </row>
    <row r="2646">
      <c r="A2646" s="59"/>
      <c r="B2646" s="59"/>
      <c r="C2646" s="59"/>
      <c r="D2646" s="59"/>
      <c r="E2646" s="59"/>
    </row>
    <row r="2647">
      <c r="A2647" s="59"/>
      <c r="B2647" s="59"/>
      <c r="C2647" s="59"/>
      <c r="D2647" s="59"/>
      <c r="E2647" s="59"/>
    </row>
    <row r="2648">
      <c r="A2648" s="4"/>
      <c r="B2648" s="4"/>
      <c r="C2648" s="4"/>
      <c r="D2648" s="4"/>
      <c r="E2648" s="6"/>
    </row>
    <row r="2649">
      <c r="A2649" s="59"/>
      <c r="B2649" s="59"/>
      <c r="C2649" s="59"/>
      <c r="D2649" s="59"/>
      <c r="E2649" s="59"/>
    </row>
    <row r="2650">
      <c r="A2650" s="4"/>
      <c r="B2650" s="4"/>
      <c r="C2650" s="4"/>
      <c r="D2650" s="4"/>
      <c r="E2650" s="6"/>
    </row>
    <row r="2651">
      <c r="A2651" s="59"/>
      <c r="B2651" s="59"/>
      <c r="C2651" s="59"/>
      <c r="D2651" s="59"/>
      <c r="E2651" s="59"/>
    </row>
    <row r="2652">
      <c r="A2652" s="4"/>
      <c r="B2652" s="4"/>
      <c r="C2652" s="4"/>
      <c r="D2652" s="4"/>
      <c r="E2652" s="6"/>
    </row>
    <row r="2653">
      <c r="A2653" s="4"/>
      <c r="B2653" s="4"/>
      <c r="C2653" s="4"/>
      <c r="D2653" s="4"/>
      <c r="E2653" s="6"/>
    </row>
    <row r="2654">
      <c r="A2654" s="4"/>
      <c r="B2654" s="4"/>
      <c r="C2654" s="4"/>
      <c r="D2654" s="4"/>
      <c r="E2654" s="6"/>
    </row>
    <row r="2655">
      <c r="A2655" s="4"/>
      <c r="B2655" s="4"/>
      <c r="C2655" s="4"/>
      <c r="D2655" s="4"/>
      <c r="E2655" s="6"/>
    </row>
    <row r="2656">
      <c r="A2656" s="4"/>
      <c r="B2656" s="4"/>
      <c r="C2656" s="4"/>
      <c r="D2656" s="4"/>
      <c r="E2656" s="6"/>
    </row>
    <row r="2657">
      <c r="A2657" s="4"/>
      <c r="B2657" s="4"/>
      <c r="C2657" s="4"/>
      <c r="D2657" s="4"/>
      <c r="E2657" s="6"/>
    </row>
    <row r="2658">
      <c r="A2658" s="4"/>
      <c r="B2658" s="4"/>
      <c r="C2658" s="4"/>
      <c r="D2658" s="4"/>
      <c r="E2658" s="6"/>
    </row>
    <row r="2659">
      <c r="A2659" s="4"/>
      <c r="B2659" s="4"/>
      <c r="C2659" s="4"/>
      <c r="D2659" s="4"/>
      <c r="E2659" s="6"/>
    </row>
    <row r="2660">
      <c r="A2660" s="4"/>
      <c r="B2660" s="4"/>
      <c r="C2660" s="4"/>
      <c r="D2660" s="4"/>
      <c r="E2660" s="6"/>
    </row>
    <row r="2661">
      <c r="A2661" s="4"/>
      <c r="B2661" s="4"/>
      <c r="C2661" s="4"/>
      <c r="D2661" s="4"/>
      <c r="E2661" s="6"/>
    </row>
    <row r="2662">
      <c r="A2662" s="4"/>
      <c r="B2662" s="4"/>
      <c r="C2662" s="4"/>
      <c r="D2662" s="4"/>
      <c r="E2662" s="6"/>
    </row>
    <row r="2663">
      <c r="A2663" s="4"/>
      <c r="B2663" s="4"/>
      <c r="C2663" s="4"/>
      <c r="D2663" s="4"/>
      <c r="E2663" s="6"/>
    </row>
    <row r="2664">
      <c r="A2664" s="4"/>
      <c r="B2664" s="4"/>
      <c r="C2664" s="4"/>
      <c r="D2664" s="4"/>
      <c r="E2664" s="6"/>
    </row>
    <row r="2665">
      <c r="A2665" s="4"/>
      <c r="B2665" s="4"/>
      <c r="C2665" s="4"/>
      <c r="D2665" s="4"/>
      <c r="E2665" s="6"/>
    </row>
    <row r="2666">
      <c r="A2666" s="4"/>
      <c r="B2666" s="4"/>
      <c r="C2666" s="4"/>
      <c r="D2666" s="4"/>
      <c r="E2666" s="6"/>
    </row>
    <row r="2667">
      <c r="A2667" s="4"/>
      <c r="B2667" s="4"/>
      <c r="C2667" s="4"/>
      <c r="D2667" s="4"/>
      <c r="E2667" s="6"/>
    </row>
    <row r="2668">
      <c r="A2668" s="59"/>
      <c r="B2668" s="59"/>
      <c r="C2668" s="59"/>
      <c r="D2668" s="59"/>
      <c r="E2668" s="59"/>
    </row>
    <row r="2669">
      <c r="A2669" s="59"/>
      <c r="B2669" s="59"/>
      <c r="C2669" s="59"/>
      <c r="D2669" s="59"/>
      <c r="E2669" s="59"/>
    </row>
    <row r="2670">
      <c r="A2670" s="59"/>
      <c r="B2670" s="59"/>
      <c r="C2670" s="59"/>
      <c r="D2670" s="59"/>
      <c r="E2670" s="59"/>
    </row>
    <row r="2671">
      <c r="A2671" s="59"/>
      <c r="B2671" s="59"/>
      <c r="C2671" s="59"/>
      <c r="D2671" s="59"/>
      <c r="E2671" s="59"/>
    </row>
    <row r="2672">
      <c r="A2672" s="59"/>
      <c r="B2672" s="59"/>
      <c r="C2672" s="59"/>
      <c r="D2672" s="59"/>
      <c r="E2672" s="59"/>
    </row>
    <row r="2673">
      <c r="A2673" s="59"/>
      <c r="B2673" s="59"/>
      <c r="C2673" s="59"/>
      <c r="D2673" s="59"/>
      <c r="E2673" s="59"/>
    </row>
    <row r="2674">
      <c r="A2674" s="59"/>
      <c r="B2674" s="59"/>
      <c r="C2674" s="59"/>
      <c r="D2674" s="59"/>
      <c r="E2674" s="59"/>
    </row>
    <row r="2675">
      <c r="A2675" s="59"/>
      <c r="B2675" s="59"/>
      <c r="C2675" s="59"/>
      <c r="D2675" s="59"/>
      <c r="E2675" s="59"/>
    </row>
    <row r="2676">
      <c r="A2676" s="59"/>
      <c r="B2676" s="59"/>
      <c r="C2676" s="59"/>
      <c r="D2676" s="59"/>
      <c r="E2676" s="59"/>
    </row>
    <row r="2677">
      <c r="A2677" s="59"/>
      <c r="B2677" s="59"/>
      <c r="C2677" s="59"/>
      <c r="D2677" s="59"/>
      <c r="E2677" s="59"/>
    </row>
    <row r="2678">
      <c r="A2678" s="59"/>
      <c r="B2678" s="59"/>
      <c r="C2678" s="59"/>
      <c r="D2678" s="59"/>
      <c r="E2678" s="59"/>
    </row>
    <row r="2679">
      <c r="A2679" s="59"/>
      <c r="B2679" s="59"/>
      <c r="C2679" s="59"/>
      <c r="D2679" s="59"/>
      <c r="E2679" s="59"/>
    </row>
    <row r="2680">
      <c r="A2680" s="59"/>
      <c r="B2680" s="59"/>
      <c r="C2680" s="59"/>
      <c r="D2680" s="59"/>
      <c r="E2680" s="59"/>
    </row>
    <row r="2681">
      <c r="A2681" s="59"/>
      <c r="B2681" s="59"/>
      <c r="C2681" s="59"/>
      <c r="D2681" s="59"/>
      <c r="E2681" s="59"/>
    </row>
    <row r="2682">
      <c r="A2682" s="59"/>
      <c r="B2682" s="59"/>
      <c r="C2682" s="59"/>
      <c r="D2682" s="59"/>
      <c r="E2682" s="59"/>
    </row>
    <row r="2683">
      <c r="A2683" s="59"/>
      <c r="B2683" s="59"/>
      <c r="C2683" s="59"/>
      <c r="D2683" s="59"/>
      <c r="E2683" s="59"/>
    </row>
    <row r="2684">
      <c r="A2684" s="59"/>
      <c r="B2684" s="59"/>
      <c r="C2684" s="59"/>
      <c r="D2684" s="59"/>
      <c r="E2684" s="59"/>
    </row>
    <row r="2685">
      <c r="A2685" s="4"/>
      <c r="B2685" s="4"/>
      <c r="C2685" s="4"/>
      <c r="D2685" s="4"/>
      <c r="E2685" s="6"/>
    </row>
    <row r="2686">
      <c r="A2686" s="59"/>
      <c r="B2686" s="59"/>
      <c r="C2686" s="59"/>
      <c r="D2686" s="59"/>
      <c r="E2686" s="59"/>
    </row>
    <row r="2687">
      <c r="A2687" s="59"/>
      <c r="B2687" s="59"/>
      <c r="C2687" s="59"/>
      <c r="D2687" s="59"/>
      <c r="E2687" s="59"/>
    </row>
    <row r="2688">
      <c r="A2688" s="59"/>
      <c r="B2688" s="59"/>
      <c r="C2688" s="59"/>
      <c r="D2688" s="59"/>
      <c r="E2688" s="59"/>
    </row>
    <row r="2689">
      <c r="A2689" s="59"/>
      <c r="B2689" s="59"/>
      <c r="C2689" s="59"/>
      <c r="D2689" s="59"/>
      <c r="E2689" s="59"/>
    </row>
    <row r="2690">
      <c r="A2690" s="59"/>
      <c r="B2690" s="59"/>
      <c r="C2690" s="59"/>
      <c r="D2690" s="59"/>
      <c r="E2690" s="59"/>
    </row>
    <row r="2691">
      <c r="A2691" s="59"/>
      <c r="B2691" s="59"/>
      <c r="C2691" s="59"/>
      <c r="D2691" s="59"/>
      <c r="E2691" s="59"/>
    </row>
    <row r="2692">
      <c r="A2692" s="59"/>
      <c r="B2692" s="59"/>
      <c r="C2692" s="59"/>
      <c r="D2692" s="59"/>
      <c r="E2692" s="59"/>
    </row>
    <row r="2693">
      <c r="A2693" s="59"/>
      <c r="B2693" s="59"/>
      <c r="C2693" s="59"/>
      <c r="D2693" s="59"/>
      <c r="E2693" s="59"/>
    </row>
    <row r="2694">
      <c r="A2694" s="59"/>
      <c r="B2694" s="59"/>
      <c r="C2694" s="59"/>
      <c r="D2694" s="59"/>
      <c r="E2694" s="59"/>
    </row>
    <row r="2695">
      <c r="A2695" s="59"/>
      <c r="B2695" s="59"/>
      <c r="C2695" s="59"/>
      <c r="D2695" s="59"/>
      <c r="E2695" s="59"/>
    </row>
    <row r="2696">
      <c r="A2696" s="59"/>
      <c r="B2696" s="59"/>
      <c r="C2696" s="59"/>
      <c r="D2696" s="59"/>
      <c r="E2696" s="59"/>
    </row>
    <row r="2697">
      <c r="A2697" s="59"/>
      <c r="B2697" s="59"/>
      <c r="C2697" s="59"/>
      <c r="D2697" s="59"/>
      <c r="E2697" s="59"/>
    </row>
    <row r="2698">
      <c r="A2698" s="59"/>
      <c r="B2698" s="59"/>
      <c r="C2698" s="59"/>
      <c r="D2698" s="59"/>
      <c r="E2698" s="59"/>
    </row>
    <row r="2699">
      <c r="A2699" s="59"/>
      <c r="B2699" s="59"/>
      <c r="C2699" s="59"/>
      <c r="D2699" s="59"/>
      <c r="E2699" s="59"/>
    </row>
    <row r="2700">
      <c r="A2700" s="59"/>
      <c r="B2700" s="59"/>
      <c r="C2700" s="59"/>
      <c r="D2700" s="59"/>
      <c r="E2700" s="59"/>
    </row>
    <row r="2701">
      <c r="A2701" s="59"/>
      <c r="B2701" s="59"/>
      <c r="C2701" s="59"/>
      <c r="D2701" s="59"/>
      <c r="E2701" s="59"/>
    </row>
    <row r="2702">
      <c r="A2702" s="59"/>
      <c r="B2702" s="59"/>
      <c r="C2702" s="59"/>
      <c r="D2702" s="59"/>
      <c r="E2702" s="59"/>
    </row>
    <row r="2703">
      <c r="A2703" s="59"/>
      <c r="B2703" s="59"/>
      <c r="C2703" s="59"/>
      <c r="D2703" s="59"/>
      <c r="E2703" s="59"/>
    </row>
    <row r="2704">
      <c r="A2704" s="59"/>
      <c r="B2704" s="59"/>
      <c r="C2704" s="59"/>
      <c r="D2704" s="59"/>
      <c r="E2704" s="59"/>
    </row>
    <row r="2705">
      <c r="A2705" s="59"/>
      <c r="B2705" s="59"/>
      <c r="C2705" s="59"/>
      <c r="D2705" s="59"/>
      <c r="E2705" s="59"/>
    </row>
    <row r="2706">
      <c r="A2706" s="59"/>
      <c r="B2706" s="59"/>
      <c r="C2706" s="59"/>
      <c r="D2706" s="59"/>
      <c r="E2706" s="59"/>
    </row>
    <row r="2707">
      <c r="A2707" s="59"/>
      <c r="B2707" s="59"/>
      <c r="C2707" s="59"/>
      <c r="D2707" s="59"/>
      <c r="E2707" s="59"/>
    </row>
    <row r="2708">
      <c r="A2708" s="59"/>
      <c r="B2708" s="59"/>
      <c r="C2708" s="59"/>
      <c r="D2708" s="59"/>
      <c r="E2708" s="59"/>
    </row>
    <row r="2709">
      <c r="A2709" s="59"/>
      <c r="B2709" s="59"/>
      <c r="C2709" s="59"/>
      <c r="D2709" s="59"/>
      <c r="E2709" s="59"/>
    </row>
    <row r="2710">
      <c r="A2710" s="4"/>
      <c r="B2710" s="4"/>
      <c r="C2710" s="4"/>
      <c r="D2710" s="4"/>
      <c r="E2710" s="6"/>
    </row>
    <row r="2711">
      <c r="A2711" s="4"/>
      <c r="B2711" s="4"/>
      <c r="C2711" s="4"/>
      <c r="D2711" s="4"/>
      <c r="E2711" s="6"/>
    </row>
    <row r="2712">
      <c r="A2712" s="59"/>
      <c r="B2712" s="59"/>
      <c r="C2712" s="59"/>
      <c r="D2712" s="59"/>
      <c r="E2712" s="59"/>
    </row>
    <row r="2713">
      <c r="A2713" s="59"/>
      <c r="B2713" s="59"/>
      <c r="C2713" s="59"/>
      <c r="D2713" s="59"/>
      <c r="E2713" s="59"/>
    </row>
    <row r="2714">
      <c r="A2714" s="59"/>
      <c r="B2714" s="59"/>
      <c r="C2714" s="59"/>
      <c r="D2714" s="59"/>
      <c r="E2714" s="59"/>
    </row>
    <row r="2715">
      <c r="A2715" s="4"/>
      <c r="B2715" s="4"/>
      <c r="C2715" s="4"/>
      <c r="D2715" s="4"/>
      <c r="E2715" s="48"/>
    </row>
    <row r="2716">
      <c r="A2716" s="4"/>
      <c r="B2716" s="4"/>
      <c r="C2716" s="4"/>
      <c r="D2716" s="4"/>
      <c r="E2716" s="6"/>
    </row>
    <row r="2717">
      <c r="A2717" s="4"/>
      <c r="B2717" s="4"/>
      <c r="C2717" s="4"/>
      <c r="D2717" s="4"/>
      <c r="E2717" s="6"/>
    </row>
    <row r="2718">
      <c r="A2718" s="4"/>
      <c r="B2718" s="4"/>
      <c r="C2718" s="4"/>
      <c r="D2718" s="4"/>
      <c r="E2718" s="6"/>
    </row>
    <row r="2719">
      <c r="A2719" s="59"/>
      <c r="B2719" s="59"/>
      <c r="C2719" s="59"/>
      <c r="D2719" s="59"/>
      <c r="E2719" s="59"/>
    </row>
    <row r="2720">
      <c r="A2720" s="59"/>
      <c r="B2720" s="59"/>
      <c r="C2720" s="59"/>
      <c r="D2720" s="59"/>
      <c r="E2720" s="59"/>
    </row>
    <row r="2721">
      <c r="A2721" s="59"/>
      <c r="B2721" s="59"/>
      <c r="C2721" s="59"/>
      <c r="D2721" s="59"/>
      <c r="E2721" s="59"/>
    </row>
    <row r="2722">
      <c r="A2722" s="59"/>
      <c r="B2722" s="59"/>
      <c r="C2722" s="59"/>
      <c r="D2722" s="59"/>
      <c r="E2722" s="59"/>
    </row>
    <row r="2723">
      <c r="A2723" s="59"/>
      <c r="B2723" s="59"/>
      <c r="C2723" s="59"/>
      <c r="D2723" s="59"/>
      <c r="E2723" s="59"/>
    </row>
    <row r="2724">
      <c r="A2724" s="59"/>
      <c r="B2724" s="59"/>
      <c r="C2724" s="59"/>
      <c r="D2724" s="59"/>
      <c r="E2724" s="59"/>
    </row>
    <row r="2725">
      <c r="A2725" s="4"/>
      <c r="B2725" s="4"/>
      <c r="C2725" s="4"/>
      <c r="D2725" s="4"/>
      <c r="E2725" s="18"/>
    </row>
    <row r="2726">
      <c r="A2726" s="4"/>
      <c r="B2726" s="4"/>
      <c r="C2726" s="4"/>
      <c r="D2726" s="4"/>
      <c r="E2726" s="6"/>
    </row>
    <row r="2727">
      <c r="A2727" s="4"/>
      <c r="B2727" s="4"/>
      <c r="C2727" s="4"/>
      <c r="D2727" s="4"/>
      <c r="E2727" s="6"/>
    </row>
    <row r="2728">
      <c r="A2728" s="4"/>
      <c r="B2728" s="4"/>
      <c r="C2728" s="4"/>
      <c r="D2728" s="4"/>
      <c r="E2728" s="18"/>
    </row>
    <row r="2729">
      <c r="A2729" s="4"/>
      <c r="B2729" s="4"/>
      <c r="C2729" s="4"/>
      <c r="D2729" s="4"/>
      <c r="E2729" s="6"/>
    </row>
    <row r="2730">
      <c r="A2730" s="4"/>
      <c r="B2730" s="4"/>
      <c r="C2730" s="4"/>
      <c r="D2730" s="4"/>
      <c r="E2730" s="6"/>
    </row>
    <row r="2731">
      <c r="A2731" s="4"/>
      <c r="B2731" s="4"/>
      <c r="C2731" s="4"/>
      <c r="D2731" s="4"/>
      <c r="E2731" s="6"/>
    </row>
    <row r="2732">
      <c r="A2732" s="4"/>
      <c r="B2732" s="4"/>
      <c r="C2732" s="4"/>
      <c r="D2732" s="4"/>
      <c r="E2732" s="6"/>
    </row>
    <row r="2733">
      <c r="A2733" s="4"/>
      <c r="B2733" s="4"/>
      <c r="C2733" s="4"/>
      <c r="D2733" s="4"/>
      <c r="E2733" s="6"/>
    </row>
    <row r="2734">
      <c r="A2734" s="4"/>
      <c r="B2734" s="4"/>
      <c r="C2734" s="4"/>
      <c r="D2734" s="4"/>
      <c r="E2734" s="6"/>
    </row>
    <row r="2735">
      <c r="A2735" s="59"/>
      <c r="B2735" s="59"/>
      <c r="C2735" s="59"/>
      <c r="D2735" s="59"/>
      <c r="E2735" s="59"/>
    </row>
    <row r="2736">
      <c r="A2736" s="59"/>
      <c r="B2736" s="59"/>
      <c r="C2736" s="59"/>
      <c r="D2736" s="59"/>
      <c r="E2736" s="59"/>
    </row>
    <row r="2737">
      <c r="A2737" s="59"/>
      <c r="B2737" s="59"/>
      <c r="C2737" s="59"/>
      <c r="D2737" s="59"/>
      <c r="E2737" s="59"/>
    </row>
    <row r="2738">
      <c r="A2738" s="59"/>
      <c r="B2738" s="59"/>
      <c r="C2738" s="59"/>
      <c r="D2738" s="59"/>
      <c r="E2738" s="59"/>
    </row>
    <row r="2739">
      <c r="A2739" s="59"/>
      <c r="B2739" s="59"/>
      <c r="C2739" s="59"/>
      <c r="D2739" s="59"/>
      <c r="E2739" s="59"/>
    </row>
    <row r="2740">
      <c r="A2740" s="59"/>
      <c r="B2740" s="59"/>
      <c r="C2740" s="59"/>
      <c r="D2740" s="59"/>
      <c r="E2740" s="59"/>
    </row>
    <row r="2741">
      <c r="A2741" s="59"/>
      <c r="B2741" s="59"/>
      <c r="C2741" s="59"/>
      <c r="D2741" s="59"/>
      <c r="E2741" s="59"/>
    </row>
    <row r="2742">
      <c r="A2742" s="59"/>
      <c r="B2742" s="59"/>
      <c r="C2742" s="59"/>
      <c r="D2742" s="59"/>
      <c r="E2742" s="59"/>
    </row>
    <row r="2743">
      <c r="A2743" s="59"/>
      <c r="B2743" s="59"/>
      <c r="C2743" s="59"/>
      <c r="D2743" s="59"/>
      <c r="E2743" s="59"/>
    </row>
    <row r="2744">
      <c r="A2744" s="59"/>
      <c r="B2744" s="59"/>
      <c r="C2744" s="59"/>
      <c r="D2744" s="59"/>
      <c r="E2744" s="59"/>
    </row>
    <row r="2745">
      <c r="A2745" s="59"/>
      <c r="B2745" s="59"/>
      <c r="C2745" s="59"/>
      <c r="D2745" s="59"/>
      <c r="E2745" s="59"/>
    </row>
    <row r="2746">
      <c r="A2746" s="59"/>
      <c r="B2746" s="59"/>
      <c r="C2746" s="59"/>
      <c r="D2746" s="59"/>
      <c r="E2746" s="59"/>
    </row>
    <row r="2747">
      <c r="A2747" s="59"/>
      <c r="B2747" s="59"/>
      <c r="C2747" s="59"/>
      <c r="D2747" s="59"/>
      <c r="E2747" s="59"/>
    </row>
    <row r="2748">
      <c r="A2748" s="59"/>
      <c r="B2748" s="59"/>
      <c r="C2748" s="59"/>
      <c r="D2748" s="59"/>
      <c r="E2748" s="59"/>
    </row>
    <row r="2749">
      <c r="A2749" s="59"/>
      <c r="B2749" s="59"/>
      <c r="C2749" s="59"/>
      <c r="D2749" s="59"/>
      <c r="E2749" s="59"/>
    </row>
    <row r="2750">
      <c r="A2750" s="59"/>
      <c r="B2750" s="59"/>
      <c r="C2750" s="59"/>
      <c r="D2750" s="59"/>
      <c r="E2750" s="59"/>
    </row>
    <row r="2751">
      <c r="A2751" s="59"/>
      <c r="B2751" s="59"/>
      <c r="C2751" s="59"/>
      <c r="D2751" s="59"/>
      <c r="E2751" s="59"/>
    </row>
    <row r="2752">
      <c r="A2752" s="59"/>
      <c r="B2752" s="59"/>
      <c r="C2752" s="59"/>
      <c r="D2752" s="59"/>
      <c r="E2752" s="59"/>
    </row>
    <row r="2753">
      <c r="A2753" s="59"/>
      <c r="B2753" s="59"/>
      <c r="C2753" s="59"/>
      <c r="D2753" s="59"/>
      <c r="E2753" s="59"/>
    </row>
    <row r="2754">
      <c r="A2754" s="59"/>
      <c r="B2754" s="59"/>
      <c r="C2754" s="59"/>
      <c r="D2754" s="59"/>
      <c r="E2754" s="59"/>
    </row>
    <row r="2755">
      <c r="A2755" s="59"/>
      <c r="B2755" s="59"/>
      <c r="C2755" s="59"/>
      <c r="D2755" s="59"/>
      <c r="E2755" s="59"/>
    </row>
    <row r="2756">
      <c r="A2756" s="59"/>
      <c r="B2756" s="59"/>
      <c r="C2756" s="59"/>
      <c r="D2756" s="59"/>
      <c r="E2756" s="59"/>
    </row>
    <row r="2757">
      <c r="A2757" s="59"/>
      <c r="B2757" s="59"/>
      <c r="C2757" s="59"/>
      <c r="D2757" s="59"/>
      <c r="E2757" s="59"/>
    </row>
    <row r="2758">
      <c r="A2758" s="59"/>
      <c r="B2758" s="59"/>
      <c r="C2758" s="59"/>
      <c r="D2758" s="59"/>
      <c r="E2758" s="59"/>
    </row>
    <row r="2759">
      <c r="A2759" s="59"/>
      <c r="B2759" s="59"/>
      <c r="C2759" s="59"/>
      <c r="D2759" s="59"/>
      <c r="E2759" s="59"/>
    </row>
    <row r="2760">
      <c r="A2760" s="59"/>
      <c r="B2760" s="59"/>
      <c r="C2760" s="59"/>
      <c r="D2760" s="59"/>
      <c r="E2760" s="59"/>
    </row>
    <row r="2761">
      <c r="A2761" s="59"/>
      <c r="B2761" s="59"/>
      <c r="C2761" s="59"/>
      <c r="D2761" s="59"/>
      <c r="E2761" s="59"/>
    </row>
    <row r="2762">
      <c r="A2762" s="59"/>
      <c r="B2762" s="59"/>
      <c r="C2762" s="59"/>
      <c r="D2762" s="59"/>
      <c r="E2762" s="59"/>
    </row>
    <row r="2763">
      <c r="A2763" s="59"/>
      <c r="B2763" s="59"/>
      <c r="C2763" s="59"/>
      <c r="D2763" s="59"/>
      <c r="E2763" s="59"/>
    </row>
    <row r="2764">
      <c r="A2764" s="59"/>
      <c r="B2764" s="59"/>
      <c r="C2764" s="59"/>
      <c r="D2764" s="59"/>
      <c r="E2764" s="59"/>
    </row>
    <row r="2765">
      <c r="A2765" s="59"/>
      <c r="B2765" s="59"/>
      <c r="C2765" s="59"/>
      <c r="D2765" s="59"/>
      <c r="E2765" s="59"/>
    </row>
    <row r="2766">
      <c r="A2766" s="59"/>
      <c r="B2766" s="59"/>
      <c r="C2766" s="59"/>
      <c r="D2766" s="59"/>
      <c r="E2766" s="59"/>
    </row>
    <row r="2767">
      <c r="A2767" s="4"/>
      <c r="B2767" s="4"/>
      <c r="C2767" s="4"/>
      <c r="D2767" s="4"/>
      <c r="E2767" s="6"/>
    </row>
    <row r="2768">
      <c r="A2768" s="59"/>
      <c r="B2768" s="59"/>
      <c r="C2768" s="59"/>
      <c r="D2768" s="59"/>
      <c r="E2768" s="59"/>
    </row>
    <row r="2769">
      <c r="A2769" s="59"/>
      <c r="B2769" s="59"/>
      <c r="C2769" s="59"/>
      <c r="D2769" s="59"/>
      <c r="E2769" s="59"/>
    </row>
    <row r="2770">
      <c r="A2770" s="59"/>
      <c r="B2770" s="59"/>
      <c r="C2770" s="59"/>
      <c r="D2770" s="59"/>
      <c r="E2770" s="59"/>
    </row>
    <row r="2771">
      <c r="A2771" s="59"/>
      <c r="B2771" s="59"/>
      <c r="C2771" s="59"/>
      <c r="D2771" s="59"/>
      <c r="E2771" s="59"/>
    </row>
    <row r="2772">
      <c r="A2772" s="59"/>
      <c r="B2772" s="59"/>
      <c r="C2772" s="59"/>
      <c r="D2772" s="59"/>
      <c r="E2772" s="59"/>
    </row>
    <row r="2773">
      <c r="A2773" s="59"/>
      <c r="B2773" s="59"/>
      <c r="C2773" s="59"/>
      <c r="D2773" s="59"/>
      <c r="E2773" s="59"/>
    </row>
    <row r="2774">
      <c r="A2774" s="59"/>
      <c r="B2774" s="59"/>
      <c r="C2774" s="59"/>
      <c r="D2774" s="59"/>
      <c r="E2774" s="59"/>
    </row>
    <row r="2775">
      <c r="A2775" s="59"/>
      <c r="B2775" s="59"/>
      <c r="C2775" s="59"/>
      <c r="D2775" s="59"/>
      <c r="E2775" s="59"/>
    </row>
    <row r="2776">
      <c r="A2776" s="59"/>
      <c r="B2776" s="59"/>
      <c r="C2776" s="59"/>
      <c r="D2776" s="59"/>
      <c r="E2776" s="59"/>
    </row>
    <row r="2777">
      <c r="A2777" s="59"/>
      <c r="B2777" s="59"/>
      <c r="C2777" s="59"/>
      <c r="D2777" s="59"/>
      <c r="E2777" s="59"/>
    </row>
    <row r="2778">
      <c r="A2778" s="59"/>
      <c r="B2778" s="59"/>
      <c r="C2778" s="59"/>
      <c r="D2778" s="59"/>
      <c r="E2778" s="59"/>
    </row>
    <row r="2779">
      <c r="A2779" s="59"/>
      <c r="B2779" s="59"/>
      <c r="C2779" s="59"/>
      <c r="D2779" s="59"/>
      <c r="E2779" s="59"/>
    </row>
    <row r="2780">
      <c r="A2780" s="59"/>
      <c r="B2780" s="59"/>
      <c r="C2780" s="59"/>
      <c r="D2780" s="59"/>
      <c r="E2780" s="59"/>
    </row>
    <row r="2781">
      <c r="A2781" s="59"/>
      <c r="B2781" s="59"/>
      <c r="C2781" s="59"/>
      <c r="D2781" s="59"/>
      <c r="E2781" s="59"/>
    </row>
    <row r="2782">
      <c r="A2782" s="59"/>
      <c r="B2782" s="59"/>
      <c r="C2782" s="59"/>
      <c r="D2782" s="59"/>
      <c r="E2782" s="59"/>
    </row>
    <row r="2783">
      <c r="A2783" s="59"/>
      <c r="B2783" s="59"/>
      <c r="C2783" s="59"/>
      <c r="D2783" s="59"/>
      <c r="E2783" s="59"/>
    </row>
    <row r="2784">
      <c r="A2784" s="59"/>
      <c r="B2784" s="59"/>
      <c r="C2784" s="59"/>
      <c r="D2784" s="59"/>
      <c r="E2784" s="59"/>
    </row>
    <row r="2785">
      <c r="A2785" s="59"/>
      <c r="B2785" s="59"/>
      <c r="C2785" s="59"/>
      <c r="D2785" s="59"/>
      <c r="E2785" s="59"/>
    </row>
    <row r="2786">
      <c r="A2786" s="59"/>
      <c r="B2786" s="59"/>
      <c r="C2786" s="59"/>
      <c r="D2786" s="59"/>
      <c r="E2786" s="59"/>
    </row>
    <row r="2787">
      <c r="A2787" s="59"/>
      <c r="B2787" s="59"/>
      <c r="C2787" s="59"/>
      <c r="D2787" s="59"/>
      <c r="E2787" s="59"/>
    </row>
    <row r="2788">
      <c r="A2788" s="59"/>
      <c r="B2788" s="59"/>
      <c r="C2788" s="59"/>
      <c r="D2788" s="59"/>
      <c r="E2788" s="59"/>
    </row>
    <row r="2789">
      <c r="A2789" s="59"/>
      <c r="B2789" s="59"/>
      <c r="C2789" s="59"/>
      <c r="D2789" s="59"/>
      <c r="E2789" s="59"/>
    </row>
    <row r="2790">
      <c r="A2790" s="59"/>
      <c r="B2790" s="59"/>
      <c r="C2790" s="59"/>
      <c r="D2790" s="59"/>
      <c r="E2790" s="59"/>
    </row>
    <row r="2791">
      <c r="A2791" s="4"/>
      <c r="B2791" s="4"/>
      <c r="C2791" s="4"/>
      <c r="D2791" s="4"/>
      <c r="E2791" s="6"/>
    </row>
    <row r="2792">
      <c r="A2792" s="4"/>
      <c r="B2792" s="4"/>
      <c r="C2792" s="4"/>
      <c r="D2792" s="4"/>
      <c r="E2792" s="6"/>
    </row>
    <row r="2793">
      <c r="A2793" s="4"/>
      <c r="B2793" s="4"/>
      <c r="C2793" s="4"/>
      <c r="D2793" s="4"/>
      <c r="E2793" s="6"/>
    </row>
    <row r="2794">
      <c r="A2794" s="59"/>
      <c r="B2794" s="59"/>
      <c r="C2794" s="59"/>
      <c r="D2794" s="59"/>
      <c r="E2794" s="59"/>
    </row>
    <row r="2795">
      <c r="A2795" s="59"/>
      <c r="B2795" s="59"/>
      <c r="C2795" s="59"/>
      <c r="D2795" s="59"/>
      <c r="E2795" s="59"/>
    </row>
    <row r="2796">
      <c r="A2796" s="59"/>
      <c r="B2796" s="59"/>
      <c r="C2796" s="59"/>
      <c r="D2796" s="59"/>
      <c r="E2796" s="59"/>
    </row>
    <row r="2797">
      <c r="A2797" s="59"/>
      <c r="B2797" s="59"/>
      <c r="C2797" s="59"/>
      <c r="D2797" s="59"/>
      <c r="E2797" s="59"/>
    </row>
    <row r="2798">
      <c r="A2798" s="59"/>
      <c r="B2798" s="59"/>
      <c r="C2798" s="59"/>
      <c r="D2798" s="59"/>
      <c r="E2798" s="59"/>
    </row>
    <row r="2799">
      <c r="A2799" s="59"/>
      <c r="B2799" s="59"/>
      <c r="C2799" s="59"/>
      <c r="D2799" s="59"/>
      <c r="E2799" s="59"/>
    </row>
    <row r="2800">
      <c r="A2800" s="59"/>
      <c r="B2800" s="59"/>
      <c r="C2800" s="59"/>
      <c r="D2800" s="59"/>
      <c r="E2800" s="59"/>
    </row>
    <row r="2801">
      <c r="A2801" s="59"/>
      <c r="B2801" s="59"/>
      <c r="C2801" s="59"/>
      <c r="D2801" s="59"/>
      <c r="E2801" s="59"/>
    </row>
    <row r="2802">
      <c r="A2802" s="59"/>
      <c r="B2802" s="59"/>
      <c r="C2802" s="59"/>
      <c r="D2802" s="59"/>
      <c r="E2802" s="59"/>
    </row>
    <row r="2803">
      <c r="A2803" s="59"/>
      <c r="B2803" s="59"/>
      <c r="C2803" s="59"/>
      <c r="D2803" s="59"/>
      <c r="E2803" s="59"/>
    </row>
    <row r="2804">
      <c r="A2804" s="59"/>
      <c r="B2804" s="59"/>
      <c r="C2804" s="59"/>
      <c r="D2804" s="59"/>
      <c r="E2804" s="59"/>
    </row>
    <row r="2805">
      <c r="A2805" s="4"/>
      <c r="B2805" s="4"/>
      <c r="C2805" s="4"/>
      <c r="D2805" s="4"/>
      <c r="E2805" s="6"/>
    </row>
    <row r="2806">
      <c r="A2806" s="4"/>
      <c r="B2806" s="4"/>
      <c r="C2806" s="4"/>
      <c r="D2806" s="4"/>
      <c r="E2806" s="6"/>
    </row>
    <row r="2807">
      <c r="A2807" s="59"/>
      <c r="B2807" s="59"/>
      <c r="C2807" s="59"/>
      <c r="D2807" s="59"/>
      <c r="E2807" s="59"/>
    </row>
    <row r="2808">
      <c r="A2808" s="59"/>
      <c r="B2808" s="59"/>
      <c r="C2808" s="59"/>
      <c r="D2808" s="59"/>
      <c r="E2808" s="59"/>
    </row>
    <row r="2809">
      <c r="A2809" s="59"/>
      <c r="B2809" s="59"/>
      <c r="C2809" s="59"/>
      <c r="D2809" s="59"/>
      <c r="E2809" s="59"/>
    </row>
    <row r="2810">
      <c r="A2810" s="59"/>
      <c r="B2810" s="59"/>
      <c r="C2810" s="59"/>
      <c r="D2810" s="59"/>
      <c r="E2810" s="59"/>
    </row>
    <row r="2811">
      <c r="A2811" s="4"/>
      <c r="B2811" s="4"/>
      <c r="C2811" s="4"/>
      <c r="D2811" s="4"/>
      <c r="E2811" s="64"/>
    </row>
    <row r="2812">
      <c r="A2812" s="4"/>
      <c r="B2812" s="4"/>
      <c r="C2812" s="4"/>
      <c r="D2812" s="4"/>
      <c r="E2812" s="6"/>
    </row>
    <row r="2813">
      <c r="A2813" s="59"/>
      <c r="B2813" s="59"/>
      <c r="C2813" s="59"/>
      <c r="D2813" s="59"/>
      <c r="E2813" s="59"/>
    </row>
    <row r="2814">
      <c r="A2814" s="59"/>
      <c r="B2814" s="59"/>
      <c r="C2814" s="59"/>
      <c r="D2814" s="59"/>
      <c r="E2814" s="59"/>
    </row>
    <row r="2815">
      <c r="A2815" s="59"/>
      <c r="B2815" s="59"/>
      <c r="C2815" s="59"/>
      <c r="D2815" s="59"/>
      <c r="E2815" s="59"/>
    </row>
    <row r="2816">
      <c r="A2816" s="59"/>
      <c r="B2816" s="59"/>
      <c r="C2816" s="59"/>
      <c r="D2816" s="59"/>
      <c r="E2816" s="59"/>
    </row>
    <row r="2817">
      <c r="A2817" s="59"/>
      <c r="B2817" s="59"/>
      <c r="C2817" s="59"/>
      <c r="D2817" s="59"/>
      <c r="E2817" s="59"/>
    </row>
    <row r="2818">
      <c r="A2818" s="59"/>
      <c r="B2818" s="59"/>
      <c r="C2818" s="59"/>
      <c r="D2818" s="59"/>
      <c r="E2818" s="59"/>
    </row>
    <row r="2819">
      <c r="A2819" s="59"/>
      <c r="B2819" s="59"/>
      <c r="C2819" s="59"/>
      <c r="D2819" s="59"/>
      <c r="E2819" s="59"/>
    </row>
    <row r="2820">
      <c r="A2820" s="59"/>
      <c r="B2820" s="59"/>
      <c r="C2820" s="59"/>
      <c r="D2820" s="59"/>
      <c r="E2820" s="59"/>
    </row>
    <row r="2821">
      <c r="A2821" s="59"/>
      <c r="B2821" s="59"/>
      <c r="C2821" s="59"/>
      <c r="D2821" s="59"/>
      <c r="E2821" s="59"/>
    </row>
    <row r="2822">
      <c r="A2822" s="59"/>
      <c r="B2822" s="59"/>
      <c r="C2822" s="59"/>
      <c r="D2822" s="59"/>
      <c r="E2822" s="59"/>
    </row>
    <row r="2823">
      <c r="A2823" s="59"/>
      <c r="B2823" s="59"/>
      <c r="C2823" s="59"/>
      <c r="D2823" s="59"/>
      <c r="E2823" s="59"/>
    </row>
    <row r="2824">
      <c r="A2824" s="4"/>
      <c r="B2824" s="4"/>
      <c r="C2824" s="4"/>
      <c r="D2824" s="4"/>
      <c r="E2824" s="6"/>
    </row>
    <row r="2825">
      <c r="A2825" s="4"/>
      <c r="B2825" s="4"/>
      <c r="C2825" s="4"/>
      <c r="D2825" s="4"/>
      <c r="E2825" s="6"/>
    </row>
    <row r="2826">
      <c r="A2826" s="4"/>
      <c r="B2826" s="4"/>
      <c r="C2826" s="4"/>
      <c r="D2826" s="4"/>
      <c r="E2826" s="6"/>
    </row>
    <row r="2827">
      <c r="A2827" s="4"/>
      <c r="B2827" s="4"/>
      <c r="C2827" s="4"/>
      <c r="D2827" s="4"/>
      <c r="E2827" s="6"/>
    </row>
    <row r="2828">
      <c r="A2828" s="4"/>
      <c r="B2828" s="4"/>
      <c r="C2828" s="4"/>
      <c r="D2828" s="4"/>
      <c r="E2828" s="6"/>
    </row>
    <row r="2829">
      <c r="A2829" s="59"/>
      <c r="B2829" s="59"/>
      <c r="C2829" s="59"/>
      <c r="D2829" s="59"/>
      <c r="E2829" s="59"/>
    </row>
    <row r="2830">
      <c r="A2830" s="59"/>
      <c r="B2830" s="59"/>
      <c r="C2830" s="59"/>
      <c r="D2830" s="59"/>
      <c r="E2830" s="59"/>
    </row>
    <row r="2831">
      <c r="A2831" s="59"/>
      <c r="B2831" s="59"/>
      <c r="C2831" s="59"/>
      <c r="D2831" s="59"/>
      <c r="E2831" s="59"/>
    </row>
    <row r="2832">
      <c r="A2832" s="59"/>
      <c r="B2832" s="59"/>
      <c r="C2832" s="59"/>
      <c r="D2832" s="59"/>
      <c r="E2832" s="59"/>
    </row>
    <row r="2833">
      <c r="A2833" s="4"/>
      <c r="B2833" s="4"/>
      <c r="C2833" s="4"/>
      <c r="D2833" s="4"/>
      <c r="E2833" s="6"/>
    </row>
    <row r="2834">
      <c r="A2834" s="62"/>
      <c r="B2834" s="62"/>
      <c r="C2834" s="62"/>
      <c r="D2834" s="62"/>
      <c r="E2834" s="62"/>
    </row>
    <row r="2835">
      <c r="A2835" s="62"/>
      <c r="B2835" s="62"/>
      <c r="C2835" s="62"/>
      <c r="D2835" s="62"/>
      <c r="E2835" s="62"/>
    </row>
    <row r="2836">
      <c r="A2836" s="62"/>
      <c r="B2836" s="62"/>
      <c r="C2836" s="62"/>
      <c r="D2836" s="62"/>
      <c r="E2836" s="62"/>
    </row>
    <row r="2837">
      <c r="A2837" s="59"/>
      <c r="B2837" s="59"/>
      <c r="C2837" s="59"/>
      <c r="D2837" s="59"/>
      <c r="E2837" s="59"/>
    </row>
    <row r="2838">
      <c r="A2838" s="59"/>
      <c r="B2838" s="59"/>
      <c r="C2838" s="59"/>
      <c r="D2838" s="59"/>
      <c r="E2838" s="59"/>
    </row>
    <row r="2839">
      <c r="A2839" s="4"/>
      <c r="B2839" s="4"/>
      <c r="C2839" s="4"/>
      <c r="D2839" s="4"/>
      <c r="E2839" s="64"/>
    </row>
    <row r="2840">
      <c r="A2840" s="4"/>
      <c r="B2840" s="4"/>
      <c r="C2840" s="4"/>
      <c r="D2840" s="4"/>
      <c r="E2840" s="6"/>
    </row>
    <row r="2841">
      <c r="A2841" s="62"/>
      <c r="B2841" s="62"/>
      <c r="C2841" s="62"/>
      <c r="D2841" s="62"/>
      <c r="E2841" s="62"/>
    </row>
    <row r="2842">
      <c r="A2842" s="59"/>
      <c r="B2842" s="59"/>
      <c r="C2842" s="59"/>
      <c r="D2842" s="59"/>
      <c r="E2842" s="59"/>
    </row>
    <row r="2843">
      <c r="A2843" s="59"/>
      <c r="B2843" s="59"/>
      <c r="C2843" s="59"/>
      <c r="D2843" s="59"/>
      <c r="E2843" s="59"/>
    </row>
    <row r="2844">
      <c r="A2844" s="59"/>
      <c r="B2844" s="59"/>
      <c r="C2844" s="59"/>
      <c r="D2844" s="59"/>
      <c r="E2844" s="59"/>
    </row>
    <row r="2845">
      <c r="A2845" s="59"/>
      <c r="B2845" s="59"/>
      <c r="C2845" s="59"/>
      <c r="D2845" s="59"/>
      <c r="E2845" s="59"/>
    </row>
    <row r="2846">
      <c r="A2846" s="4"/>
      <c r="B2846" s="4"/>
      <c r="C2846" s="4"/>
      <c r="D2846" s="4"/>
      <c r="E2846" s="6"/>
    </row>
    <row r="2847">
      <c r="A2847" s="4"/>
      <c r="B2847" s="4"/>
      <c r="C2847" s="4"/>
      <c r="D2847" s="4"/>
      <c r="E2847" s="6"/>
    </row>
    <row r="2848">
      <c r="A2848" s="4"/>
      <c r="B2848" s="4"/>
      <c r="C2848" s="4"/>
      <c r="D2848" s="4"/>
      <c r="E2848" s="6"/>
    </row>
    <row r="2849">
      <c r="A2849" s="4"/>
      <c r="B2849" s="4"/>
      <c r="C2849" s="4"/>
      <c r="D2849" s="4"/>
      <c r="E2849" s="6"/>
    </row>
    <row r="2850">
      <c r="A2850" s="4"/>
      <c r="B2850" s="4"/>
      <c r="C2850" s="4"/>
      <c r="D2850" s="4"/>
      <c r="E2850" s="6"/>
    </row>
    <row r="2851">
      <c r="A2851" s="4"/>
      <c r="B2851" s="4"/>
      <c r="C2851" s="4"/>
      <c r="D2851" s="4"/>
      <c r="E2851" s="6"/>
    </row>
    <row r="2852">
      <c r="A2852" s="59"/>
      <c r="B2852" s="59"/>
      <c r="C2852" s="59"/>
      <c r="D2852" s="59"/>
      <c r="E2852" s="59"/>
    </row>
    <row r="2853">
      <c r="A2853" s="59"/>
      <c r="B2853" s="59"/>
      <c r="C2853" s="59"/>
      <c r="D2853" s="59"/>
      <c r="E2853" s="59"/>
    </row>
    <row r="2854">
      <c r="A2854" s="59"/>
      <c r="B2854" s="59"/>
      <c r="C2854" s="59"/>
      <c r="D2854" s="59"/>
      <c r="E2854" s="59"/>
    </row>
    <row r="2855">
      <c r="A2855" s="59"/>
      <c r="B2855" s="59"/>
      <c r="C2855" s="59"/>
      <c r="D2855" s="59"/>
      <c r="E2855" s="59"/>
    </row>
    <row r="2856">
      <c r="A2856" s="59"/>
      <c r="B2856" s="59"/>
      <c r="C2856" s="59"/>
      <c r="D2856" s="59"/>
      <c r="E2856" s="59"/>
    </row>
    <row r="2857">
      <c r="A2857" s="59"/>
      <c r="B2857" s="59"/>
      <c r="C2857" s="59"/>
      <c r="D2857" s="59"/>
      <c r="E2857" s="59"/>
    </row>
    <row r="2858">
      <c r="A2858" s="59"/>
      <c r="B2858" s="59"/>
      <c r="C2858" s="59"/>
      <c r="D2858" s="59"/>
      <c r="E2858" s="59"/>
    </row>
    <row r="2859">
      <c r="A2859" s="59"/>
      <c r="B2859" s="59"/>
      <c r="C2859" s="59"/>
      <c r="D2859" s="59"/>
      <c r="E2859" s="59"/>
    </row>
    <row r="2860">
      <c r="A2860" s="59"/>
      <c r="B2860" s="59"/>
      <c r="C2860" s="59"/>
      <c r="D2860" s="59"/>
      <c r="E2860" s="59"/>
    </row>
    <row r="2861">
      <c r="A2861" s="59"/>
      <c r="B2861" s="59"/>
      <c r="C2861" s="59"/>
      <c r="D2861" s="59"/>
      <c r="E2861" s="59"/>
    </row>
    <row r="2862">
      <c r="A2862" s="59"/>
      <c r="B2862" s="59"/>
      <c r="C2862" s="59"/>
      <c r="D2862" s="59"/>
      <c r="E2862" s="59"/>
    </row>
    <row r="2863">
      <c r="A2863" s="59"/>
      <c r="B2863" s="59"/>
      <c r="C2863" s="59"/>
      <c r="D2863" s="59"/>
      <c r="E2863" s="59"/>
    </row>
    <row r="2864">
      <c r="A2864" s="4"/>
      <c r="B2864" s="4"/>
      <c r="C2864" s="4"/>
      <c r="D2864" s="4"/>
      <c r="E2864" s="6"/>
    </row>
    <row r="2865">
      <c r="A2865" s="59"/>
      <c r="B2865" s="59"/>
      <c r="C2865" s="59"/>
      <c r="D2865" s="59"/>
      <c r="E2865" s="59"/>
    </row>
    <row r="2866">
      <c r="A2866" s="59"/>
      <c r="B2866" s="59"/>
      <c r="C2866" s="59"/>
      <c r="D2866" s="59"/>
      <c r="E2866" s="59"/>
    </row>
    <row r="2867">
      <c r="A2867" s="59"/>
      <c r="B2867" s="59"/>
      <c r="C2867" s="59"/>
      <c r="D2867" s="59"/>
      <c r="E2867" s="59"/>
    </row>
    <row r="2868">
      <c r="A2868" s="59"/>
      <c r="B2868" s="59"/>
      <c r="C2868" s="59"/>
      <c r="D2868" s="59"/>
      <c r="E2868" s="59"/>
    </row>
    <row r="2869">
      <c r="A2869" s="59"/>
      <c r="B2869" s="59"/>
      <c r="C2869" s="59"/>
      <c r="D2869" s="59"/>
      <c r="E2869" s="59"/>
    </row>
    <row r="2870">
      <c r="A2870" s="4"/>
      <c r="B2870" s="4"/>
      <c r="C2870" s="4"/>
      <c r="D2870" s="4"/>
      <c r="E2870" s="6"/>
    </row>
    <row r="2871">
      <c r="A2871" s="59"/>
      <c r="B2871" s="59"/>
      <c r="C2871" s="59"/>
      <c r="D2871" s="59"/>
      <c r="E2871" s="59"/>
    </row>
    <row r="2872">
      <c r="A2872" s="59"/>
      <c r="B2872" s="59"/>
      <c r="C2872" s="59"/>
      <c r="D2872" s="59"/>
      <c r="E2872" s="59"/>
    </row>
    <row r="2873">
      <c r="A2873" s="59"/>
      <c r="B2873" s="59"/>
      <c r="C2873" s="59"/>
      <c r="D2873" s="59"/>
      <c r="E2873" s="59"/>
    </row>
    <row r="2874">
      <c r="A2874" s="59"/>
      <c r="B2874" s="59"/>
      <c r="C2874" s="59"/>
      <c r="D2874" s="59"/>
      <c r="E2874" s="59"/>
    </row>
    <row r="2875">
      <c r="A2875" s="59"/>
      <c r="B2875" s="59"/>
      <c r="C2875" s="59"/>
      <c r="D2875" s="59"/>
      <c r="E2875" s="59"/>
    </row>
    <row r="2876">
      <c r="A2876" s="59"/>
      <c r="B2876" s="59"/>
      <c r="C2876" s="59"/>
      <c r="D2876" s="59"/>
      <c r="E2876" s="59"/>
    </row>
    <row r="2877">
      <c r="A2877" s="59"/>
      <c r="B2877" s="59"/>
      <c r="C2877" s="59"/>
      <c r="D2877" s="59"/>
      <c r="E2877" s="59"/>
    </row>
    <row r="2878">
      <c r="A2878" s="59"/>
      <c r="B2878" s="59"/>
      <c r="C2878" s="59"/>
      <c r="D2878" s="59"/>
      <c r="E2878" s="59"/>
    </row>
    <row r="2879">
      <c r="A2879" s="59"/>
      <c r="B2879" s="59"/>
      <c r="C2879" s="59"/>
      <c r="D2879" s="59"/>
      <c r="E2879" s="59"/>
    </row>
    <row r="2880">
      <c r="A2880" s="59"/>
      <c r="B2880" s="59"/>
      <c r="C2880" s="59"/>
      <c r="D2880" s="59"/>
      <c r="E2880" s="59"/>
    </row>
    <row r="2881">
      <c r="A2881" s="59"/>
      <c r="B2881" s="59"/>
      <c r="C2881" s="59"/>
      <c r="D2881" s="59"/>
      <c r="E2881" s="59"/>
    </row>
    <row r="2882">
      <c r="A2882" s="59"/>
      <c r="B2882" s="59"/>
      <c r="C2882" s="59"/>
      <c r="D2882" s="59"/>
      <c r="E2882" s="59"/>
    </row>
    <row r="2883">
      <c r="A2883" s="59"/>
      <c r="B2883" s="59"/>
      <c r="C2883" s="59"/>
      <c r="D2883" s="59"/>
      <c r="E2883" s="59"/>
    </row>
    <row r="2884">
      <c r="A2884" s="59"/>
      <c r="B2884" s="59"/>
      <c r="C2884" s="59"/>
      <c r="D2884" s="59"/>
      <c r="E2884" s="59"/>
    </row>
    <row r="2885">
      <c r="A2885" s="4"/>
      <c r="B2885" s="4"/>
      <c r="C2885" s="4"/>
      <c r="D2885" s="4"/>
      <c r="E2885" s="6"/>
    </row>
    <row r="2886">
      <c r="A2886" s="4"/>
      <c r="B2886" s="4"/>
      <c r="C2886" s="4"/>
      <c r="D2886" s="4"/>
      <c r="E2886" s="6"/>
    </row>
    <row r="2887">
      <c r="A2887" s="4"/>
      <c r="B2887" s="4"/>
      <c r="C2887" s="4"/>
      <c r="D2887" s="4"/>
      <c r="E2887" s="6"/>
    </row>
    <row r="2888">
      <c r="A2888" s="4"/>
      <c r="B2888" s="4"/>
      <c r="C2888" s="4"/>
      <c r="D2888" s="4"/>
      <c r="E2888" s="6"/>
    </row>
    <row r="2889">
      <c r="A2889" s="59"/>
      <c r="B2889" s="59"/>
      <c r="C2889" s="59"/>
      <c r="D2889" s="59"/>
      <c r="E2889" s="59"/>
    </row>
    <row r="2890">
      <c r="A2890" s="59"/>
      <c r="B2890" s="59"/>
      <c r="C2890" s="59"/>
      <c r="D2890" s="59"/>
      <c r="E2890" s="59"/>
    </row>
    <row r="2891">
      <c r="A2891" s="59"/>
      <c r="B2891" s="59"/>
      <c r="C2891" s="59"/>
      <c r="D2891" s="59"/>
      <c r="E2891" s="59"/>
    </row>
    <row r="2892">
      <c r="A2892" s="59"/>
      <c r="B2892" s="59"/>
      <c r="C2892" s="59"/>
      <c r="D2892" s="59"/>
      <c r="E2892" s="59"/>
    </row>
    <row r="2893">
      <c r="A2893" s="59"/>
      <c r="B2893" s="59"/>
      <c r="C2893" s="59"/>
      <c r="D2893" s="59"/>
      <c r="E2893" s="59"/>
    </row>
    <row r="2894">
      <c r="A2894" s="62"/>
      <c r="B2894" s="62"/>
      <c r="C2894" s="62"/>
      <c r="D2894" s="62"/>
      <c r="E2894" s="62"/>
    </row>
    <row r="2895">
      <c r="A2895" s="62"/>
      <c r="B2895" s="62"/>
      <c r="C2895" s="62"/>
      <c r="D2895" s="62"/>
      <c r="E2895" s="62"/>
    </row>
    <row r="2896">
      <c r="A2896" s="59"/>
      <c r="B2896" s="59"/>
      <c r="C2896" s="59"/>
      <c r="D2896" s="59"/>
      <c r="E2896" s="59"/>
    </row>
    <row r="2897">
      <c r="A2897" s="59"/>
      <c r="B2897" s="59"/>
      <c r="C2897" s="59"/>
      <c r="D2897" s="59"/>
      <c r="E2897" s="59"/>
    </row>
    <row r="2898">
      <c r="A2898" s="59"/>
      <c r="B2898" s="59"/>
      <c r="C2898" s="59"/>
      <c r="D2898" s="59"/>
      <c r="E2898" s="59"/>
    </row>
    <row r="2899">
      <c r="A2899" s="59"/>
      <c r="B2899" s="59"/>
      <c r="C2899" s="59"/>
      <c r="D2899" s="59"/>
      <c r="E2899" s="59"/>
    </row>
    <row r="2900">
      <c r="A2900" s="59"/>
      <c r="B2900" s="59"/>
      <c r="C2900" s="59"/>
      <c r="D2900" s="59"/>
      <c r="E2900" s="59"/>
    </row>
    <row r="2901">
      <c r="A2901" s="59"/>
      <c r="B2901" s="59"/>
      <c r="C2901" s="59"/>
      <c r="D2901" s="59"/>
      <c r="E2901" s="59"/>
    </row>
    <row r="2902">
      <c r="A2902" s="59"/>
      <c r="B2902" s="59"/>
      <c r="C2902" s="59"/>
      <c r="D2902" s="59"/>
      <c r="E2902" s="59"/>
    </row>
    <row r="2903">
      <c r="A2903" s="59"/>
      <c r="B2903" s="59"/>
      <c r="C2903" s="59"/>
      <c r="D2903" s="59"/>
      <c r="E2903" s="59"/>
    </row>
    <row r="2904">
      <c r="A2904" s="59"/>
      <c r="B2904" s="59"/>
      <c r="C2904" s="59"/>
      <c r="D2904" s="59"/>
      <c r="E2904" s="59"/>
    </row>
    <row r="2905">
      <c r="A2905" s="59"/>
      <c r="B2905" s="59"/>
      <c r="C2905" s="59"/>
      <c r="D2905" s="59"/>
      <c r="E2905" s="59"/>
    </row>
    <row r="2906">
      <c r="A2906" s="59"/>
      <c r="B2906" s="59"/>
      <c r="C2906" s="59"/>
      <c r="D2906" s="59"/>
      <c r="E2906" s="59"/>
    </row>
    <row r="2907">
      <c r="A2907" s="59"/>
      <c r="B2907" s="59"/>
      <c r="C2907" s="59"/>
      <c r="D2907" s="59"/>
      <c r="E2907" s="59"/>
    </row>
    <row r="2908">
      <c r="A2908" s="59"/>
      <c r="B2908" s="59"/>
      <c r="C2908" s="59"/>
      <c r="D2908" s="59"/>
      <c r="E2908" s="59"/>
    </row>
    <row r="2909">
      <c r="A2909" s="59"/>
      <c r="B2909" s="59"/>
      <c r="C2909" s="59"/>
      <c r="D2909" s="59"/>
      <c r="E2909" s="59"/>
    </row>
    <row r="2910">
      <c r="A2910" s="59"/>
      <c r="B2910" s="59"/>
      <c r="C2910" s="59"/>
      <c r="D2910" s="59"/>
      <c r="E2910" s="59"/>
    </row>
    <row r="2911">
      <c r="A2911" s="59"/>
      <c r="B2911" s="59"/>
      <c r="C2911" s="59"/>
      <c r="D2911" s="59"/>
      <c r="E2911" s="59"/>
    </row>
    <row r="2912">
      <c r="A2912" s="59"/>
      <c r="B2912" s="59"/>
      <c r="C2912" s="59"/>
      <c r="D2912" s="59"/>
      <c r="E2912" s="59"/>
    </row>
    <row r="2913">
      <c r="A2913" s="59"/>
      <c r="B2913" s="59"/>
      <c r="C2913" s="59"/>
      <c r="D2913" s="59"/>
      <c r="E2913" s="59"/>
    </row>
    <row r="2914">
      <c r="A2914" s="59"/>
      <c r="B2914" s="59"/>
      <c r="C2914" s="59"/>
      <c r="D2914" s="59"/>
      <c r="E2914" s="59"/>
    </row>
    <row r="2915">
      <c r="A2915" s="59"/>
      <c r="B2915" s="59"/>
      <c r="C2915" s="59"/>
      <c r="D2915" s="59"/>
      <c r="E2915" s="59"/>
    </row>
    <row r="2916">
      <c r="A2916" s="59"/>
      <c r="B2916" s="59"/>
      <c r="C2916" s="59"/>
      <c r="D2916" s="59"/>
      <c r="E2916" s="59"/>
    </row>
    <row r="2917">
      <c r="A2917" s="59"/>
      <c r="B2917" s="59"/>
      <c r="C2917" s="59"/>
      <c r="D2917" s="59"/>
      <c r="E2917" s="59"/>
    </row>
    <row r="2918">
      <c r="A2918" s="59"/>
      <c r="B2918" s="59"/>
      <c r="C2918" s="59"/>
      <c r="D2918" s="59"/>
      <c r="E2918" s="59"/>
    </row>
    <row r="2919">
      <c r="A2919" s="59"/>
      <c r="B2919" s="59"/>
      <c r="C2919" s="59"/>
      <c r="D2919" s="59"/>
      <c r="E2919" s="59"/>
    </row>
    <row r="2920">
      <c r="A2920" s="59"/>
      <c r="B2920" s="59"/>
      <c r="C2920" s="59"/>
      <c r="D2920" s="59"/>
      <c r="E2920" s="59"/>
    </row>
    <row r="2921">
      <c r="A2921" s="59"/>
      <c r="B2921" s="59"/>
      <c r="C2921" s="59"/>
      <c r="D2921" s="59"/>
      <c r="E2921" s="59"/>
    </row>
    <row r="2922">
      <c r="A2922" s="59"/>
      <c r="B2922" s="59"/>
      <c r="C2922" s="59"/>
      <c r="D2922" s="59"/>
      <c r="E2922" s="59"/>
    </row>
    <row r="2923">
      <c r="A2923" s="59"/>
      <c r="B2923" s="59"/>
      <c r="C2923" s="59"/>
      <c r="D2923" s="59"/>
      <c r="E2923" s="59"/>
    </row>
    <row r="2924">
      <c r="A2924" s="59"/>
      <c r="B2924" s="59"/>
      <c r="C2924" s="59"/>
      <c r="D2924" s="59"/>
      <c r="E2924" s="59"/>
    </row>
    <row r="2925">
      <c r="A2925" s="59"/>
      <c r="B2925" s="59"/>
      <c r="C2925" s="59"/>
      <c r="D2925" s="59"/>
      <c r="E2925" s="59"/>
    </row>
    <row r="2926">
      <c r="A2926" s="59"/>
      <c r="B2926" s="59"/>
      <c r="C2926" s="59"/>
      <c r="D2926" s="59"/>
      <c r="E2926" s="59"/>
    </row>
    <row r="2927">
      <c r="A2927" s="59"/>
      <c r="B2927" s="59"/>
      <c r="C2927" s="59"/>
      <c r="D2927" s="59"/>
      <c r="E2927" s="59"/>
    </row>
    <row r="2928">
      <c r="A2928" s="59"/>
      <c r="B2928" s="59"/>
      <c r="C2928" s="59"/>
      <c r="D2928" s="59"/>
      <c r="E2928" s="59"/>
    </row>
    <row r="2929">
      <c r="A2929" s="59"/>
      <c r="B2929" s="59"/>
      <c r="C2929" s="59"/>
      <c r="D2929" s="59"/>
      <c r="E2929" s="59"/>
    </row>
    <row r="2930">
      <c r="A2930" s="59"/>
      <c r="B2930" s="59"/>
      <c r="C2930" s="59"/>
      <c r="D2930" s="59"/>
      <c r="E2930" s="59"/>
    </row>
    <row r="2931">
      <c r="A2931" s="59"/>
      <c r="B2931" s="59"/>
      <c r="C2931" s="59"/>
      <c r="D2931" s="59"/>
      <c r="E2931" s="59"/>
    </row>
    <row r="2932">
      <c r="A2932" s="59"/>
      <c r="B2932" s="59"/>
      <c r="C2932" s="59"/>
      <c r="D2932" s="59"/>
      <c r="E2932" s="59"/>
    </row>
    <row r="2933">
      <c r="A2933" s="59"/>
      <c r="B2933" s="59"/>
      <c r="C2933" s="59"/>
      <c r="D2933" s="59"/>
      <c r="E2933" s="59"/>
    </row>
    <row r="2934">
      <c r="A2934" s="59"/>
      <c r="B2934" s="59"/>
      <c r="C2934" s="59"/>
      <c r="D2934" s="59"/>
      <c r="E2934" s="59"/>
    </row>
    <row r="2935">
      <c r="A2935" s="59"/>
      <c r="B2935" s="59"/>
      <c r="C2935" s="59"/>
      <c r="D2935" s="59"/>
      <c r="E2935" s="59"/>
    </row>
    <row r="2936">
      <c r="A2936" s="59"/>
      <c r="B2936" s="59"/>
      <c r="C2936" s="59"/>
      <c r="D2936" s="59"/>
      <c r="E2936" s="59"/>
    </row>
    <row r="2937">
      <c r="A2937" s="59"/>
      <c r="B2937" s="59"/>
      <c r="C2937" s="59"/>
      <c r="D2937" s="59"/>
      <c r="E2937" s="59"/>
    </row>
    <row r="2938">
      <c r="A2938" s="59"/>
      <c r="B2938" s="59"/>
      <c r="C2938" s="59"/>
      <c r="D2938" s="59"/>
      <c r="E2938" s="59"/>
    </row>
    <row r="2939">
      <c r="A2939" s="59"/>
      <c r="B2939" s="59"/>
      <c r="C2939" s="59"/>
      <c r="D2939" s="59"/>
      <c r="E2939" s="59"/>
    </row>
    <row r="2940">
      <c r="A2940" s="59"/>
      <c r="B2940" s="59"/>
      <c r="C2940" s="59"/>
      <c r="D2940" s="59"/>
      <c r="E2940" s="59"/>
    </row>
    <row r="2941">
      <c r="A2941" s="59"/>
      <c r="B2941" s="59"/>
      <c r="C2941" s="59"/>
      <c r="D2941" s="59"/>
      <c r="E2941" s="59"/>
    </row>
    <row r="2942">
      <c r="A2942" s="59"/>
      <c r="B2942" s="59"/>
      <c r="C2942" s="59"/>
      <c r="D2942" s="59"/>
      <c r="E2942" s="59"/>
    </row>
    <row r="2943">
      <c r="A2943" s="59"/>
      <c r="B2943" s="59"/>
      <c r="C2943" s="59"/>
      <c r="D2943" s="59"/>
      <c r="E2943" s="59"/>
    </row>
    <row r="2944">
      <c r="A2944" s="59"/>
      <c r="B2944" s="59"/>
      <c r="C2944" s="59"/>
      <c r="D2944" s="59"/>
      <c r="E2944" s="59"/>
    </row>
    <row r="2945">
      <c r="A2945" s="59"/>
      <c r="B2945" s="59"/>
      <c r="C2945" s="59"/>
      <c r="D2945" s="59"/>
      <c r="E2945" s="59"/>
    </row>
    <row r="2946">
      <c r="A2946" s="59"/>
      <c r="B2946" s="59"/>
      <c r="C2946" s="59"/>
      <c r="D2946" s="59"/>
      <c r="E2946" s="59"/>
    </row>
    <row r="2947">
      <c r="A2947" s="59"/>
      <c r="B2947" s="59"/>
      <c r="C2947" s="59"/>
      <c r="D2947" s="59"/>
      <c r="E2947" s="59"/>
    </row>
    <row r="2948">
      <c r="A2948" s="59"/>
      <c r="B2948" s="59"/>
      <c r="C2948" s="59"/>
      <c r="D2948" s="59"/>
      <c r="E2948" s="59"/>
    </row>
    <row r="2949">
      <c r="A2949" s="59"/>
      <c r="B2949" s="59"/>
      <c r="C2949" s="59"/>
      <c r="D2949" s="59"/>
      <c r="E2949" s="59"/>
    </row>
    <row r="2950">
      <c r="A2950" s="59"/>
      <c r="B2950" s="59"/>
      <c r="C2950" s="59"/>
      <c r="D2950" s="59"/>
      <c r="E2950" s="59"/>
    </row>
    <row r="2951">
      <c r="A2951" s="59"/>
      <c r="B2951" s="59"/>
      <c r="C2951" s="59"/>
      <c r="D2951" s="59"/>
      <c r="E2951" s="59"/>
    </row>
    <row r="2952">
      <c r="A2952" s="59"/>
      <c r="B2952" s="59"/>
      <c r="C2952" s="59"/>
      <c r="D2952" s="59"/>
      <c r="E2952" s="59"/>
    </row>
    <row r="2953">
      <c r="A2953" s="59"/>
      <c r="B2953" s="59"/>
      <c r="C2953" s="59"/>
      <c r="D2953" s="59"/>
      <c r="E2953" s="59"/>
    </row>
    <row r="2954">
      <c r="A2954" s="59"/>
      <c r="B2954" s="59"/>
      <c r="C2954" s="59"/>
      <c r="D2954" s="59"/>
      <c r="E2954" s="59"/>
    </row>
    <row r="2955">
      <c r="A2955" s="59"/>
      <c r="B2955" s="59"/>
      <c r="C2955" s="59"/>
      <c r="D2955" s="59"/>
      <c r="E2955" s="59"/>
    </row>
    <row r="2956">
      <c r="A2956" s="59"/>
      <c r="B2956" s="59"/>
      <c r="C2956" s="59"/>
      <c r="D2956" s="59"/>
      <c r="E2956" s="59"/>
    </row>
    <row r="2957">
      <c r="A2957" s="59"/>
      <c r="B2957" s="59"/>
      <c r="C2957" s="59"/>
      <c r="D2957" s="59"/>
      <c r="E2957" s="59"/>
    </row>
    <row r="2958">
      <c r="A2958" s="59"/>
      <c r="B2958" s="59"/>
      <c r="C2958" s="59"/>
      <c r="D2958" s="59"/>
      <c r="E2958" s="59"/>
    </row>
    <row r="2959">
      <c r="A2959" s="59"/>
      <c r="B2959" s="59"/>
      <c r="C2959" s="59"/>
      <c r="D2959" s="59"/>
      <c r="E2959" s="59"/>
    </row>
    <row r="2960">
      <c r="A2960" s="59"/>
      <c r="B2960" s="59"/>
      <c r="C2960" s="59"/>
      <c r="D2960" s="59"/>
      <c r="E2960" s="59"/>
    </row>
    <row r="2961">
      <c r="A2961" s="59"/>
      <c r="B2961" s="59"/>
      <c r="C2961" s="59"/>
      <c r="D2961" s="59"/>
      <c r="E2961" s="59"/>
    </row>
    <row r="2962">
      <c r="A2962" s="59"/>
      <c r="B2962" s="59"/>
      <c r="C2962" s="59"/>
      <c r="D2962" s="59"/>
      <c r="E2962" s="59"/>
    </row>
    <row r="2963">
      <c r="A2963" s="59"/>
      <c r="B2963" s="59"/>
      <c r="C2963" s="59"/>
      <c r="D2963" s="59"/>
      <c r="E2963" s="59"/>
    </row>
    <row r="2964">
      <c r="A2964" s="59"/>
      <c r="B2964" s="59"/>
      <c r="C2964" s="59"/>
      <c r="D2964" s="59"/>
      <c r="E2964" s="59"/>
    </row>
    <row r="2965">
      <c r="A2965" s="59"/>
      <c r="B2965" s="59"/>
      <c r="C2965" s="59"/>
      <c r="D2965" s="59"/>
      <c r="E2965" s="59"/>
    </row>
    <row r="2966">
      <c r="A2966" s="59"/>
      <c r="B2966" s="59"/>
      <c r="C2966" s="59"/>
      <c r="D2966" s="59"/>
      <c r="E2966" s="59"/>
    </row>
    <row r="2967">
      <c r="A2967" s="59"/>
      <c r="B2967" s="59"/>
      <c r="C2967" s="59"/>
      <c r="D2967" s="59"/>
      <c r="E2967" s="59"/>
    </row>
    <row r="2968">
      <c r="A2968" s="59"/>
      <c r="B2968" s="59"/>
      <c r="C2968" s="59"/>
      <c r="D2968" s="59"/>
      <c r="E2968" s="59"/>
    </row>
    <row r="2969">
      <c r="A2969" s="59"/>
      <c r="B2969" s="59"/>
      <c r="C2969" s="59"/>
      <c r="D2969" s="59"/>
      <c r="E2969" s="59"/>
    </row>
    <row r="2970">
      <c r="A2970" s="59"/>
      <c r="B2970" s="59"/>
      <c r="C2970" s="59"/>
      <c r="D2970" s="59"/>
      <c r="E2970" s="59"/>
    </row>
    <row r="2971">
      <c r="A2971" s="59"/>
      <c r="B2971" s="59"/>
      <c r="C2971" s="59"/>
      <c r="D2971" s="59"/>
      <c r="E2971" s="59"/>
    </row>
    <row r="2972">
      <c r="A2972" s="59"/>
      <c r="B2972" s="59"/>
      <c r="C2972" s="59"/>
      <c r="D2972" s="59"/>
      <c r="E2972" s="59"/>
    </row>
    <row r="2973">
      <c r="A2973" s="59"/>
      <c r="B2973" s="59"/>
      <c r="C2973" s="59"/>
      <c r="D2973" s="59"/>
      <c r="E2973" s="59"/>
    </row>
    <row r="2974">
      <c r="A2974" s="59"/>
      <c r="B2974" s="59"/>
      <c r="C2974" s="59"/>
      <c r="D2974" s="59"/>
      <c r="E2974" s="59"/>
    </row>
    <row r="2975">
      <c r="A2975" s="59"/>
      <c r="B2975" s="59"/>
      <c r="C2975" s="59"/>
      <c r="D2975" s="59"/>
      <c r="E2975" s="59"/>
    </row>
    <row r="2976">
      <c r="A2976" s="59"/>
      <c r="B2976" s="59"/>
      <c r="C2976" s="59"/>
      <c r="D2976" s="59"/>
      <c r="E2976" s="59"/>
    </row>
    <row r="2977">
      <c r="A2977" s="59"/>
      <c r="B2977" s="59"/>
      <c r="C2977" s="59"/>
      <c r="D2977" s="59"/>
      <c r="E2977" s="59"/>
    </row>
    <row r="2978">
      <c r="A2978" s="59"/>
      <c r="B2978" s="59"/>
      <c r="C2978" s="59"/>
      <c r="D2978" s="59"/>
      <c r="E2978" s="59"/>
    </row>
    <row r="2979">
      <c r="A2979" s="59"/>
      <c r="B2979" s="59"/>
      <c r="C2979" s="59"/>
      <c r="D2979" s="59"/>
      <c r="E2979" s="59"/>
    </row>
    <row r="2980">
      <c r="A2980" s="59"/>
      <c r="B2980" s="59"/>
      <c r="C2980" s="59"/>
      <c r="D2980" s="59"/>
      <c r="E2980" s="59"/>
    </row>
    <row r="2981">
      <c r="A2981" s="59"/>
      <c r="B2981" s="59"/>
      <c r="C2981" s="59"/>
      <c r="D2981" s="59"/>
      <c r="E2981" s="59"/>
    </row>
    <row r="2982">
      <c r="A2982" s="59"/>
      <c r="B2982" s="59"/>
      <c r="C2982" s="59"/>
      <c r="D2982" s="59"/>
      <c r="E2982" s="59"/>
    </row>
    <row r="2983">
      <c r="A2983" s="59"/>
      <c r="B2983" s="59"/>
      <c r="C2983" s="59"/>
      <c r="D2983" s="59"/>
      <c r="E2983" s="59"/>
    </row>
    <row r="2984">
      <c r="A2984" s="59"/>
      <c r="B2984" s="59"/>
      <c r="C2984" s="59"/>
      <c r="D2984" s="59"/>
      <c r="E2984" s="59"/>
    </row>
    <row r="2985">
      <c r="A2985" s="59"/>
      <c r="B2985" s="59"/>
      <c r="C2985" s="59"/>
      <c r="D2985" s="59"/>
      <c r="E2985" s="59"/>
    </row>
    <row r="2986">
      <c r="A2986" s="59"/>
      <c r="B2986" s="59"/>
      <c r="C2986" s="59"/>
      <c r="D2986" s="59"/>
      <c r="E2986" s="59"/>
    </row>
    <row r="2987">
      <c r="A2987" s="59"/>
      <c r="B2987" s="59"/>
      <c r="C2987" s="59"/>
      <c r="D2987" s="59"/>
      <c r="E2987" s="59"/>
    </row>
    <row r="2988">
      <c r="A2988" s="59"/>
      <c r="B2988" s="59"/>
      <c r="C2988" s="59"/>
      <c r="D2988" s="59"/>
      <c r="E2988" s="59"/>
    </row>
    <row r="2989">
      <c r="A2989" s="59"/>
      <c r="B2989" s="59"/>
      <c r="C2989" s="59"/>
      <c r="D2989" s="59"/>
      <c r="E2989" s="59"/>
    </row>
    <row r="2990">
      <c r="A2990" s="59"/>
      <c r="B2990" s="59"/>
      <c r="C2990" s="59"/>
      <c r="D2990" s="59"/>
      <c r="E2990" s="59"/>
    </row>
    <row r="2991">
      <c r="A2991" s="59"/>
      <c r="B2991" s="59"/>
      <c r="C2991" s="59"/>
      <c r="D2991" s="59"/>
      <c r="E2991" s="59"/>
    </row>
    <row r="2992">
      <c r="A2992" s="59"/>
      <c r="B2992" s="59"/>
      <c r="C2992" s="59"/>
      <c r="D2992" s="59"/>
      <c r="E2992" s="59"/>
    </row>
    <row r="2993">
      <c r="A2993" s="59"/>
      <c r="B2993" s="59"/>
      <c r="C2993" s="59"/>
      <c r="D2993" s="59"/>
      <c r="E2993" s="59"/>
    </row>
    <row r="2994">
      <c r="A2994" s="59"/>
      <c r="B2994" s="59"/>
      <c r="C2994" s="59"/>
      <c r="D2994" s="59"/>
      <c r="E2994" s="59"/>
    </row>
    <row r="2995">
      <c r="A2995" s="59"/>
      <c r="B2995" s="59"/>
      <c r="C2995" s="59"/>
      <c r="D2995" s="59"/>
      <c r="E2995" s="59"/>
    </row>
    <row r="2996">
      <c r="A2996" s="59"/>
      <c r="B2996" s="59"/>
      <c r="C2996" s="59"/>
      <c r="D2996" s="59"/>
      <c r="E2996" s="59"/>
    </row>
    <row r="2997">
      <c r="A2997" s="59"/>
      <c r="B2997" s="59"/>
      <c r="C2997" s="59"/>
      <c r="D2997" s="59"/>
      <c r="E2997" s="59"/>
    </row>
    <row r="2998">
      <c r="A2998" s="59"/>
      <c r="B2998" s="59"/>
      <c r="C2998" s="59"/>
      <c r="D2998" s="59"/>
      <c r="E2998" s="59"/>
    </row>
    <row r="2999">
      <c r="A2999" s="59"/>
      <c r="B2999" s="59"/>
      <c r="C2999" s="59"/>
      <c r="D2999" s="59"/>
      <c r="E2999" s="59"/>
    </row>
    <row r="3000">
      <c r="A3000" s="59"/>
      <c r="B3000" s="59"/>
      <c r="C3000" s="59"/>
      <c r="D3000" s="59"/>
      <c r="E3000" s="59"/>
    </row>
    <row r="3001">
      <c r="A3001" s="59"/>
      <c r="B3001" s="59"/>
      <c r="C3001" s="59"/>
      <c r="D3001" s="59"/>
      <c r="E3001" s="59"/>
    </row>
    <row r="3002">
      <c r="A3002" s="59"/>
      <c r="B3002" s="59"/>
      <c r="C3002" s="59"/>
      <c r="D3002" s="59"/>
      <c r="E3002" s="59"/>
    </row>
    <row r="3003">
      <c r="A3003" s="59"/>
      <c r="B3003" s="59"/>
      <c r="C3003" s="59"/>
      <c r="D3003" s="59"/>
      <c r="E3003" s="59"/>
    </row>
    <row r="3004">
      <c r="A3004" s="59"/>
      <c r="B3004" s="59"/>
      <c r="C3004" s="59"/>
      <c r="D3004" s="59"/>
      <c r="E3004" s="59"/>
    </row>
    <row r="3005">
      <c r="A3005" s="59"/>
      <c r="B3005" s="59"/>
      <c r="C3005" s="59"/>
      <c r="D3005" s="59"/>
      <c r="E3005" s="59"/>
    </row>
    <row r="3006">
      <c r="A3006" s="59"/>
      <c r="B3006" s="59"/>
      <c r="C3006" s="59"/>
      <c r="D3006" s="59"/>
      <c r="E3006" s="59"/>
    </row>
    <row r="3007">
      <c r="A3007" s="59"/>
      <c r="B3007" s="59"/>
      <c r="C3007" s="59"/>
      <c r="D3007" s="59"/>
      <c r="E3007" s="59"/>
    </row>
    <row r="3008">
      <c r="A3008" s="59"/>
      <c r="B3008" s="59"/>
      <c r="C3008" s="59"/>
      <c r="D3008" s="59"/>
      <c r="E3008" s="59"/>
    </row>
    <row r="3009">
      <c r="A3009" s="59"/>
      <c r="B3009" s="59"/>
      <c r="C3009" s="59"/>
      <c r="D3009" s="59"/>
      <c r="E3009" s="59"/>
    </row>
    <row r="3010">
      <c r="A3010" s="59"/>
      <c r="B3010" s="59"/>
      <c r="C3010" s="59"/>
      <c r="D3010" s="59"/>
      <c r="E3010" s="59"/>
    </row>
    <row r="3011">
      <c r="A3011" s="59"/>
      <c r="B3011" s="59"/>
      <c r="C3011" s="59"/>
      <c r="D3011" s="59"/>
      <c r="E3011" s="59"/>
    </row>
    <row r="3012">
      <c r="A3012" s="59"/>
      <c r="B3012" s="59"/>
      <c r="C3012" s="59"/>
      <c r="D3012" s="59"/>
      <c r="E3012" s="59"/>
    </row>
    <row r="3013">
      <c r="A3013" s="59"/>
      <c r="B3013" s="59"/>
      <c r="C3013" s="59"/>
      <c r="D3013" s="59"/>
      <c r="E3013" s="59"/>
    </row>
    <row r="3014">
      <c r="A3014" s="59"/>
      <c r="B3014" s="59"/>
      <c r="C3014" s="59"/>
      <c r="D3014" s="59"/>
      <c r="E3014" s="59"/>
    </row>
    <row r="3015">
      <c r="A3015" s="59"/>
      <c r="B3015" s="59"/>
      <c r="C3015" s="59"/>
      <c r="D3015" s="59"/>
      <c r="E3015" s="59"/>
    </row>
    <row r="3016">
      <c r="A3016" s="59"/>
      <c r="B3016" s="59"/>
      <c r="C3016" s="59"/>
      <c r="D3016" s="59"/>
      <c r="E3016" s="59"/>
    </row>
    <row r="3017">
      <c r="A3017" s="59"/>
      <c r="B3017" s="59"/>
      <c r="C3017" s="59"/>
      <c r="D3017" s="59"/>
      <c r="E3017" s="59"/>
    </row>
    <row r="3018">
      <c r="A3018" s="59"/>
      <c r="B3018" s="59"/>
      <c r="C3018" s="59"/>
      <c r="D3018" s="59"/>
      <c r="E3018" s="59"/>
    </row>
    <row r="3019">
      <c r="A3019" s="59"/>
      <c r="B3019" s="59"/>
      <c r="C3019" s="59"/>
      <c r="D3019" s="59"/>
      <c r="E3019" s="59"/>
    </row>
    <row r="3020">
      <c r="A3020" s="59"/>
      <c r="B3020" s="59"/>
      <c r="C3020" s="59"/>
      <c r="D3020" s="59"/>
      <c r="E3020" s="59"/>
    </row>
    <row r="3021">
      <c r="A3021" s="59"/>
      <c r="B3021" s="59"/>
      <c r="C3021" s="59"/>
      <c r="D3021" s="59"/>
      <c r="E3021" s="59"/>
    </row>
    <row r="3022">
      <c r="A3022" s="59"/>
      <c r="B3022" s="59"/>
      <c r="C3022" s="59"/>
      <c r="D3022" s="59"/>
      <c r="E3022" s="59"/>
    </row>
    <row r="3023">
      <c r="A3023" s="59"/>
      <c r="B3023" s="59"/>
      <c r="C3023" s="59"/>
      <c r="D3023" s="59"/>
      <c r="E3023" s="59"/>
    </row>
    <row r="3024">
      <c r="A3024" s="59"/>
      <c r="B3024" s="59"/>
      <c r="C3024" s="59"/>
      <c r="D3024" s="59"/>
      <c r="E3024" s="59"/>
    </row>
    <row r="3025">
      <c r="A3025" s="59"/>
      <c r="B3025" s="59"/>
      <c r="C3025" s="59"/>
      <c r="D3025" s="59"/>
      <c r="E3025" s="59"/>
    </row>
    <row r="3026">
      <c r="A3026" s="59"/>
      <c r="B3026" s="59"/>
      <c r="C3026" s="59"/>
      <c r="D3026" s="59"/>
      <c r="E3026" s="59"/>
    </row>
    <row r="3027">
      <c r="A3027" s="59"/>
      <c r="B3027" s="59"/>
      <c r="C3027" s="59"/>
      <c r="D3027" s="59"/>
      <c r="E3027" s="59"/>
    </row>
    <row r="3028">
      <c r="A3028" s="59"/>
      <c r="B3028" s="59"/>
      <c r="C3028" s="59"/>
      <c r="D3028" s="59"/>
      <c r="E3028" s="59"/>
    </row>
    <row r="3029">
      <c r="A3029" s="59"/>
      <c r="B3029" s="59"/>
      <c r="C3029" s="59"/>
      <c r="D3029" s="59"/>
      <c r="E3029" s="59"/>
    </row>
    <row r="3030">
      <c r="A3030" s="59"/>
      <c r="B3030" s="59"/>
      <c r="C3030" s="59"/>
      <c r="D3030" s="59"/>
      <c r="E3030" s="59"/>
    </row>
    <row r="3031">
      <c r="A3031" s="59"/>
      <c r="B3031" s="59"/>
      <c r="C3031" s="59"/>
      <c r="D3031" s="59"/>
      <c r="E3031" s="59"/>
    </row>
    <row r="3032">
      <c r="A3032" s="59"/>
      <c r="B3032" s="59"/>
      <c r="C3032" s="59"/>
      <c r="D3032" s="59"/>
      <c r="E3032" s="59"/>
    </row>
    <row r="3033">
      <c r="A3033" s="59"/>
      <c r="B3033" s="59"/>
      <c r="C3033" s="59"/>
      <c r="D3033" s="59"/>
      <c r="E3033" s="59"/>
    </row>
    <row r="3034">
      <c r="A3034" s="59"/>
      <c r="B3034" s="59"/>
      <c r="C3034" s="59"/>
      <c r="D3034" s="59"/>
      <c r="E3034" s="59"/>
    </row>
    <row r="3035">
      <c r="A3035" s="59"/>
      <c r="B3035" s="59"/>
      <c r="C3035" s="59"/>
      <c r="D3035" s="59"/>
      <c r="E3035" s="59"/>
    </row>
    <row r="3036">
      <c r="A3036" s="59"/>
      <c r="B3036" s="59"/>
      <c r="C3036" s="59"/>
      <c r="D3036" s="59"/>
      <c r="E3036" s="59"/>
    </row>
    <row r="3037">
      <c r="A3037" s="59"/>
      <c r="B3037" s="59"/>
      <c r="C3037" s="59"/>
      <c r="D3037" s="59"/>
      <c r="E3037" s="59"/>
    </row>
    <row r="3038">
      <c r="A3038" s="59"/>
      <c r="B3038" s="59"/>
      <c r="C3038" s="59"/>
      <c r="D3038" s="59"/>
      <c r="E3038" s="59"/>
    </row>
    <row r="3039">
      <c r="A3039" s="59"/>
      <c r="B3039" s="59"/>
      <c r="C3039" s="59"/>
      <c r="D3039" s="59"/>
      <c r="E3039" s="59"/>
    </row>
    <row r="3040">
      <c r="A3040" s="59"/>
      <c r="B3040" s="59"/>
      <c r="C3040" s="59"/>
      <c r="D3040" s="59"/>
      <c r="E3040" s="59"/>
    </row>
    <row r="3041">
      <c r="A3041" s="59"/>
      <c r="B3041" s="59"/>
      <c r="C3041" s="59"/>
      <c r="D3041" s="59"/>
      <c r="E3041" s="59"/>
    </row>
    <row r="3042">
      <c r="A3042" s="59"/>
      <c r="B3042" s="59"/>
      <c r="C3042" s="59"/>
      <c r="D3042" s="59"/>
      <c r="E3042" s="59"/>
    </row>
    <row r="3043">
      <c r="A3043" s="59"/>
      <c r="B3043" s="59"/>
      <c r="C3043" s="59"/>
      <c r="D3043" s="59"/>
      <c r="E3043" s="59"/>
    </row>
    <row r="3044">
      <c r="A3044" s="59"/>
      <c r="B3044" s="59"/>
      <c r="C3044" s="59"/>
      <c r="D3044" s="59"/>
      <c r="E3044" s="59"/>
    </row>
    <row r="3045">
      <c r="A3045" s="59"/>
      <c r="B3045" s="59"/>
      <c r="C3045" s="59"/>
      <c r="D3045" s="59"/>
      <c r="E3045" s="59"/>
    </row>
    <row r="3046">
      <c r="A3046" s="59"/>
      <c r="B3046" s="59"/>
      <c r="C3046" s="59"/>
      <c r="D3046" s="59"/>
      <c r="E3046" s="59"/>
    </row>
    <row r="3047">
      <c r="A3047" s="59"/>
      <c r="B3047" s="59"/>
      <c r="C3047" s="59"/>
      <c r="D3047" s="59"/>
      <c r="E3047" s="59"/>
    </row>
    <row r="3048">
      <c r="A3048" s="59"/>
      <c r="B3048" s="59"/>
      <c r="C3048" s="59"/>
      <c r="D3048" s="59"/>
      <c r="E3048" s="59"/>
    </row>
    <row r="3049">
      <c r="A3049" s="59"/>
      <c r="B3049" s="59"/>
      <c r="C3049" s="59"/>
      <c r="D3049" s="59"/>
      <c r="E3049" s="59"/>
    </row>
    <row r="3050">
      <c r="A3050" s="59"/>
      <c r="B3050" s="59"/>
      <c r="C3050" s="59"/>
      <c r="D3050" s="59"/>
      <c r="E3050" s="59"/>
    </row>
    <row r="3051">
      <c r="A3051" s="59"/>
      <c r="B3051" s="59"/>
      <c r="C3051" s="59"/>
      <c r="D3051" s="59"/>
      <c r="E3051" s="59"/>
    </row>
    <row r="3052">
      <c r="A3052" s="59"/>
      <c r="B3052" s="59"/>
      <c r="C3052" s="59"/>
      <c r="D3052" s="59"/>
      <c r="E3052" s="59"/>
    </row>
    <row r="3053">
      <c r="A3053" s="59"/>
      <c r="B3053" s="59"/>
      <c r="C3053" s="59"/>
      <c r="D3053" s="59"/>
      <c r="E3053" s="59"/>
    </row>
    <row r="3054">
      <c r="A3054" s="59"/>
      <c r="B3054" s="59"/>
      <c r="C3054" s="59"/>
      <c r="D3054" s="59"/>
      <c r="E3054" s="59"/>
    </row>
    <row r="3055">
      <c r="A3055" s="59"/>
      <c r="B3055" s="59"/>
      <c r="C3055" s="59"/>
      <c r="D3055" s="59"/>
      <c r="E3055" s="59"/>
    </row>
    <row r="3056">
      <c r="A3056" s="59"/>
      <c r="B3056" s="59"/>
      <c r="C3056" s="59"/>
      <c r="D3056" s="59"/>
      <c r="E3056" s="59"/>
    </row>
    <row r="3057">
      <c r="A3057" s="59"/>
      <c r="B3057" s="59"/>
      <c r="C3057" s="59"/>
      <c r="D3057" s="59"/>
      <c r="E3057" s="59"/>
    </row>
    <row r="3058">
      <c r="A3058" s="59"/>
      <c r="B3058" s="59"/>
      <c r="C3058" s="59"/>
      <c r="D3058" s="59"/>
      <c r="E3058" s="59"/>
    </row>
    <row r="3059">
      <c r="A3059" s="59"/>
      <c r="B3059" s="59"/>
      <c r="C3059" s="59"/>
      <c r="D3059" s="59"/>
      <c r="E3059" s="59"/>
    </row>
    <row r="3060">
      <c r="A3060" s="59"/>
      <c r="B3060" s="59"/>
      <c r="C3060" s="59"/>
      <c r="D3060" s="59"/>
      <c r="E3060" s="59"/>
    </row>
    <row r="3061">
      <c r="A3061" s="59"/>
      <c r="B3061" s="59"/>
      <c r="C3061" s="59"/>
      <c r="D3061" s="59"/>
      <c r="E3061" s="59"/>
    </row>
    <row r="3062">
      <c r="A3062" s="59"/>
      <c r="B3062" s="59"/>
      <c r="C3062" s="59"/>
      <c r="D3062" s="59"/>
      <c r="E3062" s="59"/>
    </row>
    <row r="3063">
      <c r="A3063" s="59"/>
      <c r="B3063" s="59"/>
      <c r="C3063" s="59"/>
      <c r="D3063" s="59"/>
      <c r="E3063" s="59"/>
    </row>
    <row r="3064">
      <c r="A3064" s="59"/>
      <c r="B3064" s="59"/>
      <c r="C3064" s="59"/>
      <c r="D3064" s="59"/>
      <c r="E3064" s="59"/>
    </row>
    <row r="3065">
      <c r="A3065" s="59"/>
      <c r="B3065" s="59"/>
      <c r="C3065" s="59"/>
      <c r="D3065" s="59"/>
      <c r="E3065" s="59"/>
    </row>
    <row r="3066">
      <c r="A3066" s="59"/>
      <c r="B3066" s="59"/>
      <c r="C3066" s="59"/>
      <c r="D3066" s="59"/>
      <c r="E3066" s="59"/>
    </row>
    <row r="3067">
      <c r="A3067" s="59"/>
      <c r="B3067" s="59"/>
      <c r="C3067" s="59"/>
      <c r="D3067" s="59"/>
      <c r="E3067" s="59"/>
    </row>
    <row r="3068">
      <c r="A3068" s="59"/>
      <c r="B3068" s="59"/>
      <c r="C3068" s="59"/>
      <c r="D3068" s="59"/>
      <c r="E3068" s="59"/>
    </row>
    <row r="3069">
      <c r="A3069" s="59"/>
      <c r="B3069" s="59"/>
      <c r="C3069" s="59"/>
      <c r="D3069" s="59"/>
      <c r="E3069" s="59"/>
    </row>
    <row r="3070">
      <c r="A3070" s="59"/>
      <c r="B3070" s="59"/>
      <c r="C3070" s="59"/>
      <c r="D3070" s="59"/>
      <c r="E3070" s="59"/>
    </row>
    <row r="3071">
      <c r="A3071" s="59"/>
      <c r="B3071" s="59"/>
      <c r="C3071" s="59"/>
      <c r="D3071" s="59"/>
      <c r="E3071" s="59"/>
    </row>
    <row r="3072">
      <c r="A3072" s="59"/>
      <c r="B3072" s="59"/>
      <c r="C3072" s="59"/>
      <c r="D3072" s="59"/>
      <c r="E3072" s="59"/>
    </row>
    <row r="3073">
      <c r="A3073" s="59"/>
      <c r="B3073" s="59"/>
      <c r="C3073" s="59"/>
      <c r="D3073" s="59"/>
      <c r="E3073" s="59"/>
    </row>
    <row r="3074">
      <c r="A3074" s="59"/>
      <c r="B3074" s="59"/>
      <c r="C3074" s="59"/>
      <c r="D3074" s="59"/>
      <c r="E3074" s="59"/>
    </row>
    <row r="3075">
      <c r="A3075" s="59"/>
      <c r="B3075" s="59"/>
      <c r="C3075" s="59"/>
      <c r="D3075" s="59"/>
      <c r="E3075" s="59"/>
    </row>
    <row r="3076">
      <c r="A3076" s="59"/>
      <c r="B3076" s="59"/>
      <c r="C3076" s="59"/>
      <c r="D3076" s="59"/>
      <c r="E3076" s="59"/>
    </row>
    <row r="3077">
      <c r="A3077" s="59"/>
      <c r="B3077" s="59"/>
      <c r="C3077" s="59"/>
      <c r="D3077" s="59"/>
      <c r="E3077" s="59"/>
    </row>
    <row r="3078">
      <c r="A3078" s="59"/>
      <c r="B3078" s="59"/>
      <c r="C3078" s="59"/>
      <c r="D3078" s="59"/>
      <c r="E3078" s="59"/>
    </row>
    <row r="3079">
      <c r="A3079" s="59"/>
      <c r="B3079" s="59"/>
      <c r="C3079" s="59"/>
      <c r="D3079" s="59"/>
      <c r="E3079" s="59"/>
    </row>
    <row r="3080">
      <c r="A3080" s="59"/>
      <c r="B3080" s="59"/>
      <c r="C3080" s="59"/>
      <c r="D3080" s="59"/>
      <c r="E3080" s="59"/>
    </row>
    <row r="3081">
      <c r="A3081" s="59"/>
      <c r="B3081" s="59"/>
      <c r="C3081" s="59"/>
      <c r="D3081" s="59"/>
      <c r="E3081" s="59"/>
    </row>
    <row r="3082">
      <c r="A3082" s="59"/>
      <c r="B3082" s="59"/>
      <c r="C3082" s="59"/>
      <c r="D3082" s="59"/>
      <c r="E3082" s="59"/>
    </row>
    <row r="3083">
      <c r="A3083" s="59"/>
      <c r="B3083" s="59"/>
      <c r="C3083" s="59"/>
      <c r="D3083" s="59"/>
      <c r="E3083" s="59"/>
    </row>
    <row r="3084">
      <c r="A3084" s="59"/>
      <c r="B3084" s="59"/>
      <c r="C3084" s="59"/>
      <c r="D3084" s="59"/>
      <c r="E3084" s="59"/>
    </row>
    <row r="3085">
      <c r="A3085" s="59"/>
      <c r="B3085" s="59"/>
      <c r="C3085" s="59"/>
      <c r="D3085" s="59"/>
      <c r="E3085" s="59"/>
    </row>
    <row r="3086">
      <c r="A3086" s="59"/>
      <c r="B3086" s="59"/>
      <c r="C3086" s="59"/>
      <c r="D3086" s="59"/>
      <c r="E3086" s="59"/>
    </row>
    <row r="3087">
      <c r="A3087" s="59"/>
      <c r="B3087" s="59"/>
      <c r="C3087" s="59"/>
      <c r="D3087" s="59"/>
      <c r="E3087" s="59"/>
    </row>
    <row r="3088">
      <c r="A3088" s="59"/>
      <c r="B3088" s="59"/>
      <c r="C3088" s="59"/>
      <c r="D3088" s="59"/>
      <c r="E3088" s="59"/>
    </row>
    <row r="3089">
      <c r="A3089" s="59"/>
      <c r="B3089" s="59"/>
      <c r="C3089" s="59"/>
      <c r="D3089" s="59"/>
      <c r="E3089" s="59"/>
    </row>
    <row r="3090">
      <c r="A3090" s="59"/>
      <c r="B3090" s="59"/>
      <c r="C3090" s="59"/>
      <c r="D3090" s="59"/>
      <c r="E3090" s="59"/>
    </row>
    <row r="3091">
      <c r="A3091" s="59"/>
      <c r="B3091" s="59"/>
      <c r="C3091" s="59"/>
      <c r="D3091" s="59"/>
      <c r="E3091" s="59"/>
    </row>
    <row r="3092">
      <c r="A3092" s="59"/>
      <c r="B3092" s="59"/>
      <c r="C3092" s="59"/>
      <c r="D3092" s="59"/>
      <c r="E3092" s="59"/>
    </row>
    <row r="3093">
      <c r="A3093" s="59"/>
      <c r="B3093" s="59"/>
      <c r="C3093" s="59"/>
      <c r="D3093" s="59"/>
      <c r="E3093" s="59"/>
    </row>
    <row r="3094">
      <c r="A3094" s="59"/>
      <c r="B3094" s="59"/>
      <c r="C3094" s="59"/>
      <c r="D3094" s="59"/>
      <c r="E3094" s="59"/>
    </row>
    <row r="3095">
      <c r="A3095" s="59"/>
      <c r="B3095" s="59"/>
      <c r="C3095" s="59"/>
      <c r="D3095" s="59"/>
      <c r="E3095" s="59"/>
    </row>
    <row r="3096">
      <c r="A3096" s="59"/>
      <c r="B3096" s="59"/>
      <c r="C3096" s="59"/>
      <c r="D3096" s="59"/>
      <c r="E3096" s="59"/>
    </row>
    <row r="3097">
      <c r="A3097" s="59"/>
      <c r="B3097" s="59"/>
      <c r="C3097" s="59"/>
      <c r="D3097" s="59"/>
      <c r="E3097" s="59"/>
    </row>
    <row r="3098">
      <c r="A3098" s="59"/>
      <c r="B3098" s="59"/>
      <c r="C3098" s="59"/>
      <c r="D3098" s="59"/>
      <c r="E3098" s="59"/>
    </row>
    <row r="3099">
      <c r="A3099" s="59"/>
      <c r="B3099" s="59"/>
      <c r="C3099" s="59"/>
      <c r="D3099" s="59"/>
      <c r="E3099" s="59"/>
    </row>
    <row r="3100">
      <c r="A3100" s="59"/>
      <c r="B3100" s="59"/>
      <c r="C3100" s="59"/>
      <c r="D3100" s="59"/>
      <c r="E3100" s="59"/>
    </row>
    <row r="3101">
      <c r="A3101" s="59"/>
      <c r="B3101" s="59"/>
      <c r="C3101" s="59"/>
      <c r="D3101" s="59"/>
      <c r="E3101" s="59"/>
    </row>
    <row r="3102">
      <c r="A3102" s="59"/>
      <c r="B3102" s="59"/>
      <c r="C3102" s="59"/>
      <c r="D3102" s="59"/>
      <c r="E3102" s="59"/>
    </row>
    <row r="3103">
      <c r="A3103" s="59"/>
      <c r="B3103" s="59"/>
      <c r="C3103" s="59"/>
      <c r="D3103" s="59"/>
      <c r="E3103" s="59"/>
    </row>
    <row r="3104">
      <c r="A3104" s="59"/>
      <c r="B3104" s="59"/>
      <c r="C3104" s="59"/>
      <c r="D3104" s="59"/>
      <c r="E3104" s="59"/>
    </row>
    <row r="3105">
      <c r="A3105" s="59"/>
      <c r="B3105" s="59"/>
      <c r="C3105" s="59"/>
      <c r="D3105" s="59"/>
      <c r="E3105" s="59"/>
    </row>
    <row r="3106">
      <c r="A3106" s="59"/>
      <c r="B3106" s="59"/>
      <c r="C3106" s="59"/>
      <c r="D3106" s="59"/>
      <c r="E3106" s="59"/>
    </row>
    <row r="3107">
      <c r="A3107" s="59"/>
      <c r="B3107" s="59"/>
      <c r="C3107" s="59"/>
      <c r="D3107" s="59"/>
      <c r="E3107" s="59"/>
    </row>
    <row r="3108">
      <c r="A3108" s="59"/>
      <c r="B3108" s="59"/>
      <c r="C3108" s="59"/>
      <c r="D3108" s="59"/>
      <c r="E3108" s="59"/>
    </row>
    <row r="3109">
      <c r="A3109" s="59"/>
      <c r="B3109" s="59"/>
      <c r="C3109" s="59"/>
      <c r="D3109" s="59"/>
      <c r="E3109" s="59"/>
    </row>
    <row r="3110">
      <c r="A3110" s="59"/>
      <c r="B3110" s="59"/>
      <c r="C3110" s="59"/>
      <c r="D3110" s="59"/>
      <c r="E3110" s="59"/>
    </row>
    <row r="3111">
      <c r="A3111" s="59"/>
      <c r="B3111" s="59"/>
      <c r="C3111" s="59"/>
      <c r="D3111" s="59"/>
      <c r="E3111" s="59"/>
    </row>
    <row r="3112">
      <c r="A3112" s="59"/>
      <c r="B3112" s="59"/>
      <c r="C3112" s="59"/>
      <c r="D3112" s="59"/>
      <c r="E3112" s="59"/>
    </row>
    <row r="3113">
      <c r="A3113" s="59"/>
      <c r="B3113" s="59"/>
      <c r="C3113" s="59"/>
      <c r="D3113" s="59"/>
      <c r="E3113" s="59"/>
    </row>
    <row r="3114">
      <c r="A3114" s="59"/>
      <c r="B3114" s="59"/>
      <c r="C3114" s="59"/>
      <c r="D3114" s="59"/>
      <c r="E3114" s="59"/>
    </row>
    <row r="3115">
      <c r="A3115" s="59"/>
      <c r="B3115" s="59"/>
      <c r="C3115" s="59"/>
      <c r="D3115" s="59"/>
      <c r="E3115" s="59"/>
    </row>
    <row r="3116">
      <c r="A3116" s="59"/>
      <c r="B3116" s="59"/>
      <c r="C3116" s="59"/>
      <c r="D3116" s="59"/>
      <c r="E3116" s="59"/>
    </row>
    <row r="3117">
      <c r="A3117" s="59"/>
      <c r="B3117" s="59"/>
      <c r="C3117" s="59"/>
      <c r="D3117" s="59"/>
      <c r="E3117" s="59"/>
    </row>
    <row r="3118">
      <c r="A3118" s="59"/>
      <c r="B3118" s="59"/>
      <c r="C3118" s="59"/>
      <c r="D3118" s="59"/>
      <c r="E3118" s="59"/>
    </row>
    <row r="3119">
      <c r="A3119" s="59"/>
      <c r="B3119" s="59"/>
      <c r="C3119" s="59"/>
      <c r="D3119" s="59"/>
      <c r="E3119" s="59"/>
    </row>
    <row r="3120">
      <c r="A3120" s="59"/>
      <c r="B3120" s="59"/>
      <c r="C3120" s="59"/>
      <c r="D3120" s="59"/>
      <c r="E3120" s="59"/>
    </row>
    <row r="3121">
      <c r="A3121" s="59"/>
      <c r="B3121" s="59"/>
      <c r="C3121" s="59"/>
      <c r="D3121" s="59"/>
      <c r="E3121" s="59"/>
    </row>
    <row r="3122">
      <c r="A3122" s="59"/>
      <c r="B3122" s="59"/>
      <c r="C3122" s="59"/>
      <c r="D3122" s="59"/>
      <c r="E3122" s="59"/>
    </row>
    <row r="3123">
      <c r="A3123" s="59"/>
      <c r="B3123" s="59"/>
      <c r="C3123" s="59"/>
      <c r="D3123" s="59"/>
      <c r="E3123" s="59"/>
    </row>
    <row r="3124">
      <c r="A3124" s="59"/>
      <c r="B3124" s="59"/>
      <c r="C3124" s="59"/>
      <c r="D3124" s="59"/>
      <c r="E3124" s="59"/>
    </row>
    <row r="3125">
      <c r="A3125" s="59"/>
      <c r="B3125" s="59"/>
      <c r="C3125" s="59"/>
      <c r="D3125" s="59"/>
      <c r="E3125" s="59"/>
    </row>
    <row r="3126">
      <c r="A3126" s="59"/>
      <c r="B3126" s="59"/>
      <c r="C3126" s="59"/>
      <c r="D3126" s="59"/>
      <c r="E3126" s="59"/>
    </row>
    <row r="3127">
      <c r="A3127" s="59"/>
      <c r="B3127" s="59"/>
      <c r="C3127" s="59"/>
      <c r="D3127" s="59"/>
      <c r="E3127" s="59"/>
    </row>
    <row r="3128">
      <c r="A3128" s="59"/>
      <c r="B3128" s="59"/>
      <c r="C3128" s="59"/>
      <c r="D3128" s="59"/>
      <c r="E3128" s="59"/>
    </row>
    <row r="3129">
      <c r="A3129" s="59"/>
      <c r="B3129" s="59"/>
      <c r="C3129" s="59"/>
      <c r="D3129" s="59"/>
      <c r="E3129" s="59"/>
    </row>
    <row r="3130">
      <c r="A3130" s="59"/>
      <c r="B3130" s="59"/>
      <c r="C3130" s="59"/>
      <c r="D3130" s="59"/>
      <c r="E3130" s="59"/>
    </row>
    <row r="3131">
      <c r="A3131" s="59"/>
      <c r="B3131" s="59"/>
      <c r="C3131" s="59"/>
      <c r="D3131" s="59"/>
      <c r="E3131" s="59"/>
    </row>
    <row r="3132">
      <c r="A3132" s="59"/>
      <c r="B3132" s="59"/>
      <c r="C3132" s="59"/>
      <c r="D3132" s="59"/>
      <c r="E3132" s="59"/>
    </row>
    <row r="3133">
      <c r="A3133" s="59"/>
      <c r="B3133" s="59"/>
      <c r="C3133" s="59"/>
      <c r="D3133" s="59"/>
      <c r="E3133" s="59"/>
    </row>
    <row r="3134">
      <c r="A3134" s="59"/>
      <c r="B3134" s="59"/>
      <c r="C3134" s="59"/>
      <c r="D3134" s="59"/>
      <c r="E3134" s="59"/>
    </row>
    <row r="3135">
      <c r="A3135" s="59"/>
      <c r="B3135" s="59"/>
      <c r="C3135" s="59"/>
      <c r="D3135" s="59"/>
      <c r="E3135" s="59"/>
    </row>
    <row r="3136">
      <c r="A3136" s="59"/>
      <c r="B3136" s="59"/>
      <c r="C3136" s="59"/>
      <c r="D3136" s="59"/>
      <c r="E3136" s="59"/>
    </row>
    <row r="3137">
      <c r="A3137" s="59"/>
      <c r="B3137" s="59"/>
      <c r="C3137" s="59"/>
      <c r="D3137" s="59"/>
      <c r="E3137" s="59"/>
    </row>
    <row r="3138">
      <c r="A3138" s="59"/>
      <c r="B3138" s="59"/>
      <c r="C3138" s="59"/>
      <c r="D3138" s="59"/>
      <c r="E3138" s="59"/>
    </row>
    <row r="3139">
      <c r="A3139" s="59"/>
      <c r="B3139" s="59"/>
      <c r="C3139" s="59"/>
      <c r="D3139" s="59"/>
      <c r="E3139" s="59"/>
    </row>
    <row r="3140">
      <c r="A3140" s="59"/>
      <c r="B3140" s="59"/>
      <c r="C3140" s="59"/>
      <c r="D3140" s="59"/>
      <c r="E3140" s="59"/>
    </row>
    <row r="3141">
      <c r="A3141" s="59"/>
      <c r="B3141" s="59"/>
      <c r="C3141" s="59"/>
      <c r="D3141" s="59"/>
      <c r="E3141" s="59"/>
    </row>
    <row r="3142">
      <c r="A3142" s="59"/>
      <c r="B3142" s="59"/>
      <c r="C3142" s="59"/>
      <c r="D3142" s="59"/>
      <c r="E3142" s="59"/>
    </row>
    <row r="3143">
      <c r="A3143" s="59"/>
      <c r="B3143" s="59"/>
      <c r="C3143" s="59"/>
      <c r="D3143" s="59"/>
      <c r="E3143" s="59"/>
    </row>
    <row r="3144">
      <c r="A3144" s="59"/>
      <c r="B3144" s="59"/>
      <c r="C3144" s="59"/>
      <c r="D3144" s="59"/>
      <c r="E3144" s="59"/>
    </row>
    <row r="3145">
      <c r="A3145" s="59"/>
      <c r="B3145" s="59"/>
      <c r="C3145" s="59"/>
      <c r="D3145" s="59"/>
      <c r="E3145" s="59"/>
    </row>
    <row r="3146">
      <c r="A3146" s="59"/>
      <c r="B3146" s="59"/>
      <c r="C3146" s="59"/>
      <c r="D3146" s="59"/>
      <c r="E3146" s="59"/>
    </row>
    <row r="3147">
      <c r="A3147" s="59"/>
      <c r="B3147" s="59"/>
      <c r="C3147" s="59"/>
      <c r="D3147" s="59"/>
      <c r="E3147" s="59"/>
    </row>
    <row r="3148">
      <c r="A3148" s="59"/>
      <c r="B3148" s="59"/>
      <c r="C3148" s="59"/>
      <c r="D3148" s="59"/>
      <c r="E3148" s="59"/>
    </row>
    <row r="3149">
      <c r="A3149" s="59"/>
      <c r="B3149" s="59"/>
      <c r="C3149" s="59"/>
      <c r="D3149" s="59"/>
      <c r="E3149" s="59"/>
    </row>
    <row r="3150">
      <c r="A3150" s="59"/>
      <c r="B3150" s="59"/>
      <c r="C3150" s="59"/>
      <c r="D3150" s="59"/>
      <c r="E3150" s="59"/>
    </row>
    <row r="3151">
      <c r="A3151" s="59"/>
      <c r="B3151" s="59"/>
      <c r="C3151" s="59"/>
      <c r="D3151" s="59"/>
      <c r="E3151" s="59"/>
    </row>
    <row r="3152">
      <c r="A3152" s="59"/>
      <c r="B3152" s="59"/>
      <c r="C3152" s="59"/>
      <c r="D3152" s="59"/>
      <c r="E3152" s="59"/>
    </row>
    <row r="3153">
      <c r="A3153" s="59"/>
      <c r="B3153" s="59"/>
      <c r="C3153" s="59"/>
      <c r="D3153" s="59"/>
      <c r="E3153" s="59"/>
    </row>
    <row r="3154">
      <c r="A3154" s="59"/>
      <c r="B3154" s="59"/>
      <c r="C3154" s="59"/>
      <c r="D3154" s="59"/>
      <c r="E3154" s="59"/>
    </row>
    <row r="3155">
      <c r="A3155" s="59"/>
      <c r="B3155" s="59"/>
      <c r="C3155" s="59"/>
      <c r="D3155" s="59"/>
      <c r="E3155" s="59"/>
    </row>
    <row r="3156">
      <c r="A3156" s="59"/>
      <c r="B3156" s="59"/>
      <c r="C3156" s="59"/>
      <c r="D3156" s="59"/>
      <c r="E3156" s="59"/>
    </row>
    <row r="3157">
      <c r="A3157" s="59"/>
      <c r="B3157" s="59"/>
      <c r="C3157" s="59"/>
      <c r="D3157" s="59"/>
      <c r="E3157" s="59"/>
    </row>
    <row r="3158">
      <c r="A3158" s="59"/>
      <c r="B3158" s="59"/>
      <c r="C3158" s="59"/>
      <c r="D3158" s="59"/>
      <c r="E3158" s="59"/>
    </row>
    <row r="3159">
      <c r="A3159" s="59"/>
      <c r="B3159" s="59"/>
      <c r="C3159" s="59"/>
      <c r="D3159" s="59"/>
      <c r="E3159" s="59"/>
    </row>
    <row r="3160">
      <c r="A3160" s="59"/>
      <c r="B3160" s="59"/>
      <c r="C3160" s="59"/>
      <c r="D3160" s="59"/>
      <c r="E3160" s="59"/>
    </row>
    <row r="3161">
      <c r="A3161" s="59"/>
      <c r="B3161" s="59"/>
      <c r="C3161" s="59"/>
      <c r="D3161" s="59"/>
      <c r="E3161" s="59"/>
    </row>
    <row r="3162">
      <c r="A3162" s="59"/>
      <c r="B3162" s="59"/>
      <c r="C3162" s="59"/>
      <c r="D3162" s="59"/>
      <c r="E3162" s="59"/>
    </row>
    <row r="3163">
      <c r="A3163" s="59"/>
      <c r="B3163" s="59"/>
      <c r="C3163" s="59"/>
      <c r="D3163" s="59"/>
      <c r="E3163" s="59"/>
    </row>
    <row r="3164">
      <c r="A3164" s="59"/>
      <c r="B3164" s="59"/>
      <c r="C3164" s="59"/>
      <c r="D3164" s="59"/>
      <c r="E3164" s="59"/>
    </row>
    <row r="3165">
      <c r="A3165" s="59"/>
      <c r="B3165" s="59"/>
      <c r="C3165" s="59"/>
      <c r="D3165" s="59"/>
      <c r="E3165" s="59"/>
    </row>
    <row r="3166">
      <c r="A3166" s="59"/>
      <c r="B3166" s="59"/>
      <c r="C3166" s="59"/>
      <c r="D3166" s="59"/>
      <c r="E3166" s="59"/>
    </row>
    <row r="3167">
      <c r="A3167" s="59"/>
      <c r="B3167" s="59"/>
      <c r="C3167" s="59"/>
      <c r="D3167" s="59"/>
      <c r="E3167" s="59"/>
    </row>
    <row r="3168">
      <c r="A3168" s="59"/>
      <c r="B3168" s="59"/>
      <c r="C3168" s="59"/>
      <c r="D3168" s="59"/>
      <c r="E3168" s="59"/>
    </row>
    <row r="3169">
      <c r="A3169" s="59"/>
      <c r="B3169" s="59"/>
      <c r="C3169" s="59"/>
      <c r="D3169" s="59"/>
      <c r="E3169" s="59"/>
    </row>
    <row r="3170">
      <c r="A3170" s="59"/>
      <c r="B3170" s="59"/>
      <c r="C3170" s="59"/>
      <c r="D3170" s="59"/>
      <c r="E3170" s="59"/>
    </row>
    <row r="3171">
      <c r="A3171" s="59"/>
      <c r="B3171" s="59"/>
      <c r="C3171" s="59"/>
      <c r="D3171" s="59"/>
      <c r="E3171" s="59"/>
    </row>
    <row r="3172">
      <c r="A3172" s="59"/>
      <c r="B3172" s="59"/>
      <c r="C3172" s="59"/>
      <c r="D3172" s="59"/>
      <c r="E3172" s="59"/>
    </row>
    <row r="3173">
      <c r="A3173" s="59"/>
      <c r="B3173" s="59"/>
      <c r="C3173" s="59"/>
      <c r="D3173" s="59"/>
      <c r="E3173" s="59"/>
    </row>
    <row r="3174">
      <c r="A3174" s="59"/>
      <c r="B3174" s="59"/>
      <c r="C3174" s="59"/>
      <c r="D3174" s="59"/>
      <c r="E3174" s="59"/>
    </row>
    <row r="3175">
      <c r="A3175" s="59"/>
      <c r="B3175" s="59"/>
      <c r="C3175" s="59"/>
      <c r="D3175" s="59"/>
      <c r="E3175" s="59"/>
    </row>
    <row r="3176">
      <c r="A3176" s="59"/>
      <c r="B3176" s="59"/>
      <c r="C3176" s="59"/>
      <c r="D3176" s="59"/>
      <c r="E3176" s="59"/>
    </row>
    <row r="3177">
      <c r="A3177" s="59"/>
      <c r="B3177" s="59"/>
      <c r="C3177" s="59"/>
      <c r="D3177" s="59"/>
      <c r="E3177" s="59"/>
    </row>
    <row r="3178">
      <c r="A3178" s="59"/>
      <c r="B3178" s="59"/>
      <c r="C3178" s="59"/>
      <c r="D3178" s="59"/>
      <c r="E3178" s="59"/>
    </row>
    <row r="3179">
      <c r="A3179" s="59"/>
      <c r="B3179" s="59"/>
      <c r="C3179" s="59"/>
      <c r="D3179" s="59"/>
      <c r="E3179" s="59"/>
    </row>
    <row r="3180">
      <c r="A3180" s="59"/>
      <c r="B3180" s="59"/>
      <c r="C3180" s="59"/>
      <c r="D3180" s="59"/>
      <c r="E3180" s="59"/>
    </row>
    <row r="3181">
      <c r="A3181" s="59"/>
      <c r="B3181" s="59"/>
      <c r="C3181" s="59"/>
      <c r="D3181" s="59"/>
      <c r="E3181" s="59"/>
    </row>
    <row r="3182">
      <c r="A3182" s="59"/>
      <c r="B3182" s="59"/>
      <c r="C3182" s="59"/>
      <c r="D3182" s="59"/>
      <c r="E3182" s="59"/>
    </row>
    <row r="3183">
      <c r="A3183" s="59"/>
      <c r="B3183" s="59"/>
      <c r="C3183" s="59"/>
      <c r="D3183" s="59"/>
      <c r="E3183" s="59"/>
    </row>
    <row r="3184">
      <c r="A3184" s="59"/>
      <c r="B3184" s="59"/>
      <c r="C3184" s="59"/>
      <c r="D3184" s="59"/>
      <c r="E3184" s="59"/>
    </row>
    <row r="3185">
      <c r="A3185" s="59"/>
      <c r="B3185" s="59"/>
      <c r="C3185" s="59"/>
      <c r="D3185" s="59"/>
      <c r="E3185" s="59"/>
    </row>
    <row r="3186">
      <c r="A3186" s="59"/>
      <c r="B3186" s="59"/>
      <c r="C3186" s="59"/>
      <c r="D3186" s="59"/>
      <c r="E3186" s="59"/>
    </row>
    <row r="3187">
      <c r="A3187" s="59"/>
      <c r="B3187" s="59"/>
      <c r="C3187" s="59"/>
      <c r="D3187" s="59"/>
      <c r="E3187" s="59"/>
    </row>
    <row r="3188">
      <c r="A3188" s="59"/>
      <c r="B3188" s="59"/>
      <c r="C3188" s="59"/>
      <c r="D3188" s="59"/>
      <c r="E3188" s="59"/>
    </row>
    <row r="3189">
      <c r="A3189" s="59"/>
      <c r="B3189" s="59"/>
      <c r="C3189" s="59"/>
      <c r="D3189" s="59"/>
      <c r="E3189" s="59"/>
    </row>
    <row r="3190">
      <c r="A3190" s="59"/>
      <c r="B3190" s="59"/>
      <c r="C3190" s="59"/>
      <c r="D3190" s="59"/>
      <c r="E3190" s="59"/>
    </row>
    <row r="3191">
      <c r="A3191" s="59"/>
      <c r="B3191" s="59"/>
      <c r="C3191" s="59"/>
      <c r="D3191" s="59"/>
      <c r="E3191" s="59"/>
    </row>
    <row r="3192">
      <c r="A3192" s="59"/>
      <c r="B3192" s="59"/>
      <c r="C3192" s="59"/>
      <c r="D3192" s="59"/>
      <c r="E3192" s="59"/>
    </row>
    <row r="3193">
      <c r="A3193" s="59"/>
      <c r="B3193" s="59"/>
      <c r="C3193" s="59"/>
      <c r="D3193" s="59"/>
      <c r="E3193" s="59"/>
    </row>
    <row r="3194">
      <c r="A3194" s="59"/>
      <c r="B3194" s="59"/>
      <c r="C3194" s="59"/>
      <c r="D3194" s="59"/>
      <c r="E3194" s="59"/>
    </row>
    <row r="3195">
      <c r="A3195" s="59"/>
      <c r="B3195" s="59"/>
      <c r="C3195" s="59"/>
      <c r="D3195" s="59"/>
      <c r="E3195" s="59"/>
    </row>
    <row r="3196">
      <c r="A3196" s="59"/>
      <c r="B3196" s="59"/>
      <c r="C3196" s="59"/>
      <c r="D3196" s="59"/>
      <c r="E3196" s="59"/>
    </row>
    <row r="3197">
      <c r="A3197" s="59"/>
      <c r="B3197" s="59"/>
      <c r="C3197" s="59"/>
      <c r="D3197" s="59"/>
      <c r="E3197" s="59"/>
    </row>
    <row r="3198">
      <c r="A3198" s="59"/>
      <c r="B3198" s="59"/>
      <c r="C3198" s="59"/>
      <c r="D3198" s="59"/>
      <c r="E3198" s="59"/>
    </row>
    <row r="3199">
      <c r="A3199" s="59"/>
      <c r="B3199" s="59"/>
      <c r="C3199" s="59"/>
      <c r="D3199" s="59"/>
      <c r="E3199" s="59"/>
    </row>
    <row r="3200">
      <c r="A3200" s="59"/>
      <c r="B3200" s="59"/>
      <c r="C3200" s="59"/>
      <c r="D3200" s="59"/>
      <c r="E3200" s="59"/>
    </row>
    <row r="3201">
      <c r="A3201" s="59"/>
      <c r="B3201" s="59"/>
      <c r="C3201" s="59"/>
      <c r="D3201" s="59"/>
      <c r="E3201" s="59"/>
    </row>
    <row r="3202">
      <c r="A3202" s="59"/>
      <c r="B3202" s="59"/>
      <c r="C3202" s="59"/>
      <c r="D3202" s="59"/>
      <c r="E3202" s="59"/>
    </row>
    <row r="3203">
      <c r="A3203" s="59"/>
      <c r="B3203" s="59"/>
      <c r="C3203" s="59"/>
      <c r="D3203" s="59"/>
      <c r="E3203" s="59"/>
    </row>
    <row r="3204">
      <c r="A3204" s="59"/>
      <c r="B3204" s="59"/>
      <c r="C3204" s="59"/>
      <c r="D3204" s="59"/>
      <c r="E3204" s="59"/>
    </row>
    <row r="3205">
      <c r="A3205" s="59"/>
      <c r="B3205" s="59"/>
      <c r="C3205" s="59"/>
      <c r="D3205" s="59"/>
      <c r="E3205" s="59"/>
    </row>
    <row r="3206">
      <c r="A3206" s="59"/>
      <c r="B3206" s="59"/>
      <c r="C3206" s="59"/>
      <c r="D3206" s="59"/>
      <c r="E3206" s="59"/>
    </row>
    <row r="3207">
      <c r="A3207" s="59"/>
      <c r="B3207" s="59"/>
      <c r="C3207" s="59"/>
      <c r="D3207" s="59"/>
      <c r="E3207" s="59"/>
    </row>
    <row r="3208">
      <c r="A3208" s="59"/>
      <c r="B3208" s="59"/>
      <c r="C3208" s="59"/>
      <c r="D3208" s="59"/>
      <c r="E3208" s="59"/>
    </row>
    <row r="3209">
      <c r="A3209" s="59"/>
      <c r="B3209" s="59"/>
      <c r="C3209" s="59"/>
      <c r="D3209" s="59"/>
      <c r="E3209" s="59"/>
    </row>
    <row r="3210">
      <c r="A3210" s="59"/>
      <c r="B3210" s="59"/>
      <c r="C3210" s="59"/>
      <c r="D3210" s="59"/>
      <c r="E3210" s="59"/>
    </row>
    <row r="3211">
      <c r="A3211" s="59"/>
      <c r="B3211" s="59"/>
      <c r="C3211" s="59"/>
      <c r="D3211" s="59"/>
      <c r="E3211" s="59"/>
    </row>
    <row r="3212">
      <c r="A3212" s="59"/>
      <c r="B3212" s="59"/>
      <c r="C3212" s="59"/>
      <c r="D3212" s="59"/>
      <c r="E3212" s="59"/>
    </row>
    <row r="3213">
      <c r="A3213" s="59"/>
      <c r="B3213" s="59"/>
      <c r="C3213" s="59"/>
      <c r="D3213" s="59"/>
      <c r="E3213" s="59"/>
    </row>
    <row r="3214">
      <c r="A3214" s="59"/>
      <c r="B3214" s="59"/>
      <c r="C3214" s="59"/>
      <c r="D3214" s="59"/>
      <c r="E3214" s="59"/>
    </row>
    <row r="3215">
      <c r="A3215" s="59"/>
      <c r="B3215" s="59"/>
      <c r="C3215" s="59"/>
      <c r="D3215" s="59"/>
      <c r="E3215" s="59"/>
    </row>
    <row r="3216">
      <c r="A3216" s="59"/>
      <c r="B3216" s="59"/>
      <c r="C3216" s="59"/>
      <c r="D3216" s="59"/>
      <c r="E3216" s="59"/>
    </row>
    <row r="3217">
      <c r="A3217" s="59"/>
      <c r="B3217" s="59"/>
      <c r="C3217" s="59"/>
      <c r="D3217" s="59"/>
      <c r="E3217" s="59"/>
    </row>
    <row r="3218">
      <c r="A3218" s="59"/>
      <c r="B3218" s="59"/>
      <c r="C3218" s="59"/>
      <c r="D3218" s="59"/>
      <c r="E3218" s="59"/>
    </row>
    <row r="3219">
      <c r="A3219" s="59"/>
      <c r="B3219" s="59"/>
      <c r="C3219" s="59"/>
      <c r="D3219" s="59"/>
      <c r="E3219" s="59"/>
    </row>
    <row r="3220">
      <c r="A3220" s="59"/>
      <c r="B3220" s="59"/>
      <c r="C3220" s="59"/>
      <c r="D3220" s="59"/>
      <c r="E3220" s="59"/>
    </row>
    <row r="3221">
      <c r="A3221" s="59"/>
      <c r="B3221" s="59"/>
      <c r="C3221" s="59"/>
      <c r="D3221" s="59"/>
      <c r="E3221" s="59"/>
    </row>
    <row r="3222">
      <c r="A3222" s="59"/>
      <c r="B3222" s="59"/>
      <c r="C3222" s="59"/>
      <c r="D3222" s="59"/>
      <c r="E3222" s="59"/>
    </row>
    <row r="3223">
      <c r="A3223" s="59"/>
      <c r="B3223" s="59"/>
      <c r="C3223" s="59"/>
      <c r="D3223" s="59"/>
      <c r="E3223" s="59"/>
    </row>
    <row r="3224">
      <c r="A3224" s="59"/>
      <c r="B3224" s="59"/>
      <c r="C3224" s="59"/>
      <c r="D3224" s="59"/>
      <c r="E3224" s="59"/>
    </row>
    <row r="3225">
      <c r="A3225" s="59"/>
      <c r="B3225" s="59"/>
      <c r="C3225" s="59"/>
      <c r="D3225" s="59"/>
      <c r="E3225" s="59"/>
    </row>
    <row r="3226">
      <c r="A3226" s="59"/>
      <c r="B3226" s="59"/>
      <c r="C3226" s="59"/>
      <c r="D3226" s="59"/>
      <c r="E3226" s="59"/>
    </row>
    <row r="3227">
      <c r="A3227" s="59"/>
      <c r="B3227" s="59"/>
      <c r="C3227" s="59"/>
      <c r="D3227" s="59"/>
      <c r="E3227" s="59"/>
    </row>
    <row r="3228">
      <c r="A3228" s="59"/>
      <c r="B3228" s="59"/>
      <c r="C3228" s="59"/>
      <c r="D3228" s="59"/>
      <c r="E3228" s="59"/>
    </row>
    <row r="3229">
      <c r="A3229" s="59"/>
      <c r="B3229" s="59"/>
      <c r="C3229" s="59"/>
      <c r="D3229" s="59"/>
      <c r="E3229" s="59"/>
    </row>
    <row r="3230">
      <c r="A3230" s="59"/>
      <c r="B3230" s="59"/>
      <c r="C3230" s="59"/>
      <c r="D3230" s="59"/>
      <c r="E3230" s="59"/>
    </row>
    <row r="3231">
      <c r="A3231" s="59"/>
      <c r="B3231" s="59"/>
      <c r="C3231" s="59"/>
      <c r="D3231" s="59"/>
      <c r="E3231" s="59"/>
    </row>
    <row r="3232">
      <c r="A3232" s="59"/>
      <c r="B3232" s="59"/>
      <c r="C3232" s="59"/>
      <c r="D3232" s="59"/>
      <c r="E3232" s="59"/>
    </row>
    <row r="3233">
      <c r="A3233" s="59"/>
      <c r="B3233" s="59"/>
      <c r="C3233" s="59"/>
      <c r="D3233" s="59"/>
      <c r="E3233" s="59"/>
    </row>
    <row r="3234">
      <c r="A3234" s="59"/>
      <c r="B3234" s="59"/>
      <c r="C3234" s="59"/>
      <c r="D3234" s="59"/>
      <c r="E3234" s="59"/>
    </row>
    <row r="3235">
      <c r="A3235" s="59"/>
      <c r="B3235" s="59"/>
      <c r="C3235" s="59"/>
      <c r="D3235" s="59"/>
      <c r="E3235" s="59"/>
    </row>
    <row r="3236">
      <c r="A3236" s="59"/>
      <c r="B3236" s="59"/>
      <c r="C3236" s="59"/>
      <c r="D3236" s="59"/>
      <c r="E3236" s="59"/>
    </row>
    <row r="3237">
      <c r="A3237" s="59"/>
      <c r="B3237" s="59"/>
      <c r="C3237" s="59"/>
      <c r="D3237" s="59"/>
      <c r="E3237" s="59"/>
    </row>
    <row r="3238">
      <c r="A3238" s="59"/>
      <c r="B3238" s="59"/>
      <c r="C3238" s="59"/>
      <c r="D3238" s="59"/>
      <c r="E3238" s="59"/>
    </row>
    <row r="3239">
      <c r="A3239" s="59"/>
      <c r="B3239" s="59"/>
      <c r="C3239" s="59"/>
      <c r="D3239" s="59"/>
      <c r="E3239" s="59"/>
    </row>
    <row r="3240">
      <c r="A3240" s="59"/>
      <c r="B3240" s="59"/>
      <c r="C3240" s="59"/>
      <c r="D3240" s="59"/>
      <c r="E3240" s="59"/>
    </row>
    <row r="3241">
      <c r="A3241" s="59"/>
      <c r="B3241" s="59"/>
      <c r="C3241" s="59"/>
      <c r="D3241" s="59"/>
      <c r="E3241" s="59"/>
    </row>
    <row r="3242">
      <c r="A3242" s="59"/>
      <c r="B3242" s="59"/>
      <c r="C3242" s="59"/>
      <c r="D3242" s="59"/>
      <c r="E3242" s="59"/>
    </row>
    <row r="3243">
      <c r="A3243" s="59"/>
      <c r="B3243" s="59"/>
      <c r="C3243" s="59"/>
      <c r="D3243" s="59"/>
      <c r="E3243" s="59"/>
    </row>
    <row r="3244">
      <c r="A3244" s="59"/>
      <c r="B3244" s="59"/>
      <c r="C3244" s="59"/>
      <c r="D3244" s="59"/>
      <c r="E3244" s="59"/>
    </row>
    <row r="3245">
      <c r="A3245" s="59"/>
      <c r="B3245" s="59"/>
      <c r="C3245" s="59"/>
      <c r="D3245" s="59"/>
      <c r="E3245" s="59"/>
    </row>
    <row r="3246">
      <c r="A3246" s="59"/>
      <c r="B3246" s="59"/>
      <c r="C3246" s="59"/>
      <c r="D3246" s="59"/>
      <c r="E3246" s="59"/>
    </row>
    <row r="3247">
      <c r="A3247" s="59"/>
      <c r="B3247" s="59"/>
      <c r="C3247" s="59"/>
      <c r="D3247" s="59"/>
      <c r="E3247" s="59"/>
    </row>
    <row r="3248">
      <c r="A3248" s="59"/>
      <c r="B3248" s="59"/>
      <c r="C3248" s="59"/>
      <c r="D3248" s="59"/>
      <c r="E3248" s="59"/>
    </row>
    <row r="3249">
      <c r="A3249" s="59"/>
      <c r="B3249" s="59"/>
      <c r="C3249" s="59"/>
      <c r="D3249" s="59"/>
      <c r="E3249" s="59"/>
    </row>
    <row r="3250">
      <c r="A3250" s="59"/>
      <c r="B3250" s="59"/>
      <c r="C3250" s="59"/>
      <c r="D3250" s="59"/>
      <c r="E3250" s="59"/>
    </row>
    <row r="3251">
      <c r="A3251" s="59"/>
      <c r="B3251" s="59"/>
      <c r="C3251" s="59"/>
      <c r="D3251" s="59"/>
      <c r="E3251" s="59"/>
    </row>
    <row r="3252">
      <c r="A3252" s="59"/>
      <c r="B3252" s="59"/>
      <c r="C3252" s="59"/>
      <c r="D3252" s="59"/>
      <c r="E3252" s="59"/>
    </row>
    <row r="3253">
      <c r="A3253" s="59"/>
      <c r="B3253" s="59"/>
      <c r="C3253" s="59"/>
      <c r="D3253" s="59"/>
      <c r="E3253" s="59"/>
    </row>
    <row r="3254">
      <c r="A3254" s="59"/>
      <c r="B3254" s="59"/>
      <c r="C3254" s="59"/>
      <c r="D3254" s="59"/>
      <c r="E3254" s="59"/>
    </row>
    <row r="3255">
      <c r="A3255" s="59"/>
      <c r="B3255" s="59"/>
      <c r="C3255" s="59"/>
      <c r="D3255" s="59"/>
      <c r="E3255" s="59"/>
    </row>
    <row r="3256">
      <c r="A3256" s="59"/>
      <c r="B3256" s="59"/>
      <c r="C3256" s="59"/>
      <c r="D3256" s="59"/>
      <c r="E3256" s="59"/>
    </row>
    <row r="3257">
      <c r="A3257" s="59"/>
      <c r="B3257" s="59"/>
      <c r="C3257" s="59"/>
      <c r="D3257" s="59"/>
      <c r="E3257" s="59"/>
    </row>
    <row r="3258">
      <c r="A3258" s="59"/>
      <c r="B3258" s="59"/>
      <c r="C3258" s="59"/>
      <c r="D3258" s="59"/>
      <c r="E3258" s="59"/>
    </row>
    <row r="3259">
      <c r="A3259" s="59"/>
      <c r="B3259" s="59"/>
      <c r="C3259" s="59"/>
      <c r="D3259" s="59"/>
      <c r="E3259" s="59"/>
    </row>
    <row r="3260">
      <c r="A3260" s="59"/>
      <c r="B3260" s="59"/>
      <c r="C3260" s="59"/>
      <c r="D3260" s="59"/>
      <c r="E3260" s="59"/>
    </row>
    <row r="3261">
      <c r="A3261" s="59"/>
      <c r="B3261" s="59"/>
      <c r="C3261" s="59"/>
      <c r="D3261" s="59"/>
      <c r="E3261" s="59"/>
    </row>
    <row r="3262">
      <c r="A3262" s="59"/>
      <c r="B3262" s="59"/>
      <c r="C3262" s="59"/>
      <c r="D3262" s="59"/>
      <c r="E3262" s="59"/>
    </row>
    <row r="3263">
      <c r="A3263" s="59"/>
      <c r="B3263" s="59"/>
      <c r="C3263" s="59"/>
      <c r="D3263" s="59"/>
      <c r="E3263" s="59"/>
    </row>
    <row r="3264">
      <c r="A3264" s="59"/>
      <c r="B3264" s="59"/>
      <c r="C3264" s="59"/>
      <c r="D3264" s="59"/>
      <c r="E3264" s="59"/>
    </row>
    <row r="3265">
      <c r="A3265" s="59"/>
      <c r="B3265" s="59"/>
      <c r="C3265" s="59"/>
      <c r="D3265" s="59"/>
      <c r="E3265" s="59"/>
    </row>
    <row r="3266">
      <c r="A3266" s="59"/>
      <c r="B3266" s="59"/>
      <c r="C3266" s="59"/>
      <c r="D3266" s="59"/>
      <c r="E3266" s="59"/>
    </row>
    <row r="3267">
      <c r="A3267" s="59"/>
      <c r="B3267" s="59"/>
      <c r="C3267" s="59"/>
      <c r="D3267" s="59"/>
      <c r="E3267" s="59"/>
    </row>
    <row r="3268">
      <c r="A3268" s="59"/>
      <c r="B3268" s="59"/>
      <c r="C3268" s="59"/>
      <c r="D3268" s="59"/>
      <c r="E3268" s="59"/>
    </row>
    <row r="3269">
      <c r="A3269" s="59"/>
      <c r="B3269" s="59"/>
      <c r="C3269" s="59"/>
      <c r="D3269" s="59"/>
      <c r="E3269" s="59"/>
    </row>
    <row r="3270">
      <c r="A3270" s="59"/>
      <c r="B3270" s="59"/>
      <c r="C3270" s="59"/>
      <c r="D3270" s="59"/>
      <c r="E3270" s="59"/>
    </row>
    <row r="3271">
      <c r="A3271" s="59"/>
      <c r="B3271" s="59"/>
      <c r="C3271" s="59"/>
      <c r="D3271" s="59"/>
      <c r="E3271" s="59"/>
    </row>
    <row r="3272">
      <c r="A3272" s="59"/>
      <c r="B3272" s="59"/>
      <c r="C3272" s="59"/>
      <c r="D3272" s="59"/>
      <c r="E3272" s="59"/>
    </row>
    <row r="3273">
      <c r="A3273" s="59"/>
      <c r="B3273" s="59"/>
      <c r="C3273" s="59"/>
      <c r="D3273" s="59"/>
      <c r="E3273" s="59"/>
    </row>
    <row r="3274">
      <c r="A3274" s="59"/>
      <c r="B3274" s="59"/>
      <c r="C3274" s="59"/>
      <c r="D3274" s="59"/>
      <c r="E3274" s="59"/>
    </row>
    <row r="3275">
      <c r="A3275" s="59"/>
      <c r="B3275" s="59"/>
      <c r="C3275" s="59"/>
      <c r="D3275" s="59"/>
      <c r="E3275" s="59"/>
    </row>
    <row r="3276">
      <c r="A3276" s="59"/>
      <c r="B3276" s="59"/>
      <c r="C3276" s="59"/>
      <c r="D3276" s="59"/>
      <c r="E3276" s="59"/>
    </row>
    <row r="3277">
      <c r="A3277" s="59"/>
      <c r="B3277" s="59"/>
      <c r="C3277" s="59"/>
      <c r="D3277" s="59"/>
      <c r="E3277" s="59"/>
    </row>
    <row r="3278">
      <c r="A3278" s="59"/>
      <c r="B3278" s="59"/>
      <c r="C3278" s="59"/>
      <c r="D3278" s="59"/>
      <c r="E3278" s="59"/>
    </row>
    <row r="3279">
      <c r="A3279" s="59"/>
      <c r="B3279" s="59"/>
      <c r="C3279" s="59"/>
      <c r="D3279" s="59"/>
      <c r="E3279" s="59"/>
    </row>
    <row r="3280">
      <c r="A3280" s="59"/>
      <c r="B3280" s="59"/>
      <c r="C3280" s="59"/>
      <c r="D3280" s="59"/>
      <c r="E3280" s="59"/>
    </row>
    <row r="3281">
      <c r="A3281" s="59"/>
      <c r="B3281" s="59"/>
      <c r="C3281" s="59"/>
      <c r="D3281" s="59"/>
      <c r="E3281" s="59"/>
    </row>
    <row r="3282">
      <c r="A3282" s="59"/>
      <c r="B3282" s="59"/>
      <c r="C3282" s="59"/>
      <c r="D3282" s="59"/>
      <c r="E3282" s="59"/>
    </row>
    <row r="3283">
      <c r="A3283" s="59"/>
      <c r="B3283" s="59"/>
      <c r="C3283" s="59"/>
      <c r="D3283" s="59"/>
      <c r="E3283" s="59"/>
    </row>
    <row r="3284">
      <c r="A3284" s="59"/>
      <c r="B3284" s="59"/>
      <c r="C3284" s="59"/>
      <c r="D3284" s="59"/>
      <c r="E3284" s="59"/>
    </row>
    <row r="3285">
      <c r="A3285" s="59"/>
      <c r="B3285" s="59"/>
      <c r="C3285" s="59"/>
      <c r="D3285" s="59"/>
      <c r="E3285" s="59"/>
    </row>
    <row r="3286">
      <c r="A3286" s="59"/>
      <c r="B3286" s="59"/>
      <c r="C3286" s="59"/>
      <c r="D3286" s="59"/>
      <c r="E3286" s="59"/>
    </row>
    <row r="3287">
      <c r="A3287" s="59"/>
      <c r="B3287" s="59"/>
      <c r="C3287" s="59"/>
      <c r="D3287" s="59"/>
      <c r="E3287" s="59"/>
    </row>
    <row r="3288">
      <c r="A3288" s="59"/>
      <c r="B3288" s="59"/>
      <c r="C3288" s="59"/>
      <c r="D3288" s="59"/>
      <c r="E3288" s="59"/>
    </row>
    <row r="3289">
      <c r="A3289" s="59"/>
      <c r="B3289" s="59"/>
      <c r="C3289" s="59"/>
      <c r="D3289" s="59"/>
      <c r="E3289" s="59"/>
    </row>
    <row r="3290">
      <c r="A3290" s="59"/>
      <c r="B3290" s="59"/>
      <c r="C3290" s="59"/>
      <c r="D3290" s="59"/>
      <c r="E3290" s="59"/>
    </row>
    <row r="3291">
      <c r="A3291" s="59"/>
      <c r="B3291" s="59"/>
      <c r="C3291" s="59"/>
      <c r="D3291" s="59"/>
      <c r="E3291" s="59"/>
    </row>
    <row r="3292">
      <c r="A3292" s="59"/>
      <c r="B3292" s="59"/>
      <c r="C3292" s="59"/>
      <c r="D3292" s="59"/>
      <c r="E3292" s="59"/>
    </row>
    <row r="3293">
      <c r="A3293" s="59"/>
      <c r="B3293" s="59"/>
      <c r="C3293" s="59"/>
      <c r="D3293" s="59"/>
      <c r="E3293" s="59"/>
    </row>
    <row r="3294">
      <c r="A3294" s="59"/>
      <c r="B3294" s="59"/>
      <c r="C3294" s="59"/>
      <c r="D3294" s="59"/>
      <c r="E3294" s="59"/>
    </row>
    <row r="3295">
      <c r="A3295" s="59"/>
      <c r="B3295" s="59"/>
      <c r="C3295" s="59"/>
      <c r="D3295" s="59"/>
      <c r="E3295" s="59"/>
    </row>
    <row r="3296">
      <c r="A3296" s="59"/>
      <c r="B3296" s="59"/>
      <c r="C3296" s="59"/>
      <c r="D3296" s="59"/>
      <c r="E3296" s="59"/>
    </row>
    <row r="3297">
      <c r="A3297" s="59"/>
      <c r="B3297" s="59"/>
      <c r="C3297" s="59"/>
      <c r="D3297" s="59"/>
      <c r="E3297" s="59"/>
    </row>
    <row r="3298">
      <c r="A3298" s="59"/>
      <c r="B3298" s="59"/>
      <c r="C3298" s="59"/>
      <c r="D3298" s="59"/>
      <c r="E3298" s="59"/>
    </row>
    <row r="3299">
      <c r="A3299" s="59"/>
      <c r="B3299" s="59"/>
      <c r="C3299" s="59"/>
      <c r="D3299" s="59"/>
      <c r="E3299" s="59"/>
    </row>
    <row r="3300">
      <c r="A3300" s="59"/>
      <c r="B3300" s="59"/>
      <c r="C3300" s="59"/>
      <c r="D3300" s="59"/>
      <c r="E3300" s="59"/>
    </row>
    <row r="3301">
      <c r="A3301" s="59"/>
      <c r="B3301" s="59"/>
      <c r="C3301" s="59"/>
      <c r="D3301" s="59"/>
      <c r="E3301" s="59"/>
    </row>
    <row r="3302">
      <c r="A3302" s="59"/>
      <c r="B3302" s="59"/>
      <c r="C3302" s="59"/>
      <c r="D3302" s="59"/>
      <c r="E3302" s="59"/>
    </row>
    <row r="3303">
      <c r="A3303" s="59"/>
      <c r="B3303" s="59"/>
      <c r="C3303" s="59"/>
      <c r="D3303" s="59"/>
      <c r="E3303" s="59"/>
    </row>
    <row r="3304">
      <c r="A3304" s="59"/>
      <c r="B3304" s="59"/>
      <c r="C3304" s="59"/>
      <c r="D3304" s="59"/>
      <c r="E3304" s="59"/>
    </row>
    <row r="3305">
      <c r="A3305" s="59"/>
      <c r="B3305" s="59"/>
      <c r="C3305" s="59"/>
      <c r="D3305" s="59"/>
      <c r="E3305" s="59"/>
    </row>
    <row r="3306">
      <c r="A3306" s="59"/>
      <c r="B3306" s="59"/>
      <c r="C3306" s="59"/>
      <c r="D3306" s="59"/>
      <c r="E3306" s="59"/>
    </row>
    <row r="3307">
      <c r="A3307" s="59"/>
      <c r="B3307" s="59"/>
      <c r="C3307" s="59"/>
      <c r="D3307" s="59"/>
      <c r="E3307" s="59"/>
    </row>
    <row r="3308">
      <c r="A3308" s="59"/>
      <c r="B3308" s="59"/>
      <c r="C3308" s="59"/>
      <c r="D3308" s="59"/>
      <c r="E3308" s="59"/>
    </row>
    <row r="3309">
      <c r="A3309" s="59"/>
      <c r="B3309" s="59"/>
      <c r="C3309" s="59"/>
      <c r="D3309" s="59"/>
      <c r="E3309" s="59"/>
    </row>
    <row r="3310">
      <c r="A3310" s="59"/>
      <c r="B3310" s="59"/>
      <c r="C3310" s="59"/>
      <c r="D3310" s="59"/>
      <c r="E3310" s="59"/>
    </row>
    <row r="3311">
      <c r="A3311" s="59"/>
      <c r="B3311" s="59"/>
      <c r="C3311" s="59"/>
      <c r="D3311" s="59"/>
      <c r="E3311" s="59"/>
    </row>
    <row r="3312">
      <c r="A3312" s="59"/>
      <c r="B3312" s="59"/>
      <c r="C3312" s="59"/>
      <c r="D3312" s="59"/>
      <c r="E3312" s="59"/>
    </row>
    <row r="3313">
      <c r="A3313" s="59"/>
      <c r="B3313" s="59"/>
      <c r="C3313" s="59"/>
      <c r="D3313" s="59"/>
      <c r="E3313" s="59"/>
    </row>
    <row r="3314">
      <c r="A3314" s="59"/>
      <c r="B3314" s="59"/>
      <c r="C3314" s="59"/>
      <c r="D3314" s="59"/>
      <c r="E3314" s="59"/>
    </row>
    <row r="3315">
      <c r="A3315" s="59"/>
      <c r="B3315" s="59"/>
      <c r="C3315" s="59"/>
      <c r="D3315" s="59"/>
      <c r="E3315" s="59"/>
    </row>
    <row r="3316">
      <c r="A3316" s="59"/>
      <c r="B3316" s="59"/>
      <c r="C3316" s="59"/>
      <c r="D3316" s="59"/>
      <c r="E3316" s="59"/>
    </row>
    <row r="3317">
      <c r="A3317" s="59"/>
      <c r="B3317" s="59"/>
      <c r="C3317" s="59"/>
      <c r="D3317" s="59"/>
      <c r="E3317" s="59"/>
    </row>
    <row r="3318">
      <c r="A3318" s="59"/>
      <c r="B3318" s="59"/>
      <c r="C3318" s="59"/>
      <c r="D3318" s="59"/>
      <c r="E3318" s="59"/>
    </row>
    <row r="3319">
      <c r="A3319" s="59"/>
      <c r="B3319" s="59"/>
      <c r="C3319" s="59"/>
      <c r="D3319" s="59"/>
      <c r="E3319" s="59"/>
    </row>
    <row r="3320">
      <c r="A3320" s="59"/>
      <c r="B3320" s="59"/>
      <c r="C3320" s="59"/>
      <c r="D3320" s="59"/>
      <c r="E3320" s="59"/>
    </row>
    <row r="3321">
      <c r="A3321" s="59"/>
      <c r="B3321" s="59"/>
      <c r="C3321" s="59"/>
      <c r="D3321" s="59"/>
      <c r="E3321" s="59"/>
    </row>
    <row r="3322">
      <c r="A3322" s="59"/>
      <c r="B3322" s="59"/>
      <c r="C3322" s="59"/>
      <c r="D3322" s="59"/>
      <c r="E3322" s="59"/>
    </row>
    <row r="3323">
      <c r="A3323" s="59"/>
      <c r="B3323" s="59"/>
      <c r="C3323" s="59"/>
      <c r="D3323" s="59"/>
      <c r="E3323" s="59"/>
    </row>
    <row r="3324">
      <c r="A3324" s="59"/>
      <c r="B3324" s="59"/>
      <c r="C3324" s="59"/>
      <c r="D3324" s="59"/>
      <c r="E3324" s="59"/>
    </row>
    <row r="3325">
      <c r="A3325" s="59"/>
      <c r="B3325" s="59"/>
      <c r="C3325" s="59"/>
      <c r="D3325" s="59"/>
      <c r="E3325" s="59"/>
    </row>
    <row r="3326">
      <c r="A3326" s="59"/>
      <c r="B3326" s="59"/>
      <c r="C3326" s="59"/>
      <c r="D3326" s="59"/>
      <c r="E3326" s="59"/>
    </row>
    <row r="3327">
      <c r="A3327" s="59"/>
      <c r="B3327" s="59"/>
      <c r="C3327" s="59"/>
      <c r="D3327" s="59"/>
      <c r="E3327" s="59"/>
    </row>
    <row r="3328">
      <c r="A3328" s="59"/>
      <c r="B3328" s="59"/>
      <c r="C3328" s="59"/>
      <c r="D3328" s="59"/>
      <c r="E3328" s="59"/>
    </row>
    <row r="3329">
      <c r="A3329" s="59"/>
      <c r="B3329" s="59"/>
      <c r="C3329" s="59"/>
      <c r="D3329" s="59"/>
      <c r="E3329" s="59"/>
    </row>
    <row r="3330">
      <c r="A3330" s="59"/>
      <c r="B3330" s="59"/>
      <c r="C3330" s="59"/>
      <c r="D3330" s="59"/>
      <c r="E3330" s="59"/>
    </row>
    <row r="3331">
      <c r="A3331" s="59"/>
      <c r="B3331" s="59"/>
      <c r="C3331" s="59"/>
      <c r="D3331" s="59"/>
      <c r="E3331" s="59"/>
    </row>
    <row r="3332">
      <c r="A3332" s="59"/>
      <c r="B3332" s="59"/>
      <c r="C3332" s="59"/>
      <c r="D3332" s="59"/>
      <c r="E3332" s="59"/>
    </row>
    <row r="3333">
      <c r="A3333" s="59"/>
      <c r="B3333" s="59"/>
      <c r="C3333" s="59"/>
      <c r="D3333" s="59"/>
      <c r="E3333" s="59"/>
    </row>
    <row r="3334">
      <c r="A3334" s="59"/>
      <c r="B3334" s="59"/>
      <c r="C3334" s="59"/>
      <c r="D3334" s="59"/>
      <c r="E3334" s="59"/>
    </row>
    <row r="3335">
      <c r="A3335" s="59"/>
      <c r="B3335" s="59"/>
      <c r="C3335" s="59"/>
      <c r="D3335" s="59"/>
      <c r="E3335" s="59"/>
    </row>
    <row r="3336">
      <c r="A3336" s="59"/>
      <c r="B3336" s="59"/>
      <c r="C3336" s="59"/>
      <c r="D3336" s="59"/>
      <c r="E3336" s="59"/>
    </row>
    <row r="3337">
      <c r="A3337" s="59"/>
      <c r="B3337" s="59"/>
      <c r="C3337" s="59"/>
      <c r="D3337" s="59"/>
      <c r="E3337" s="59"/>
    </row>
    <row r="3338">
      <c r="A3338" s="59"/>
      <c r="B3338" s="59"/>
      <c r="C3338" s="59"/>
      <c r="D3338" s="59"/>
      <c r="E3338" s="59"/>
    </row>
    <row r="3339">
      <c r="A3339" s="59"/>
      <c r="B3339" s="59"/>
      <c r="C3339" s="59"/>
      <c r="D3339" s="59"/>
      <c r="E3339" s="59"/>
    </row>
    <row r="3340">
      <c r="A3340" s="59"/>
      <c r="B3340" s="59"/>
      <c r="C3340" s="59"/>
      <c r="D3340" s="59"/>
      <c r="E3340" s="59"/>
    </row>
    <row r="3341">
      <c r="A3341" s="59"/>
      <c r="B3341" s="59"/>
      <c r="C3341" s="59"/>
      <c r="D3341" s="59"/>
      <c r="E3341" s="59"/>
    </row>
    <row r="3342">
      <c r="A3342" s="59"/>
      <c r="B3342" s="59"/>
      <c r="C3342" s="59"/>
      <c r="D3342" s="59"/>
      <c r="E3342" s="59"/>
    </row>
    <row r="3343">
      <c r="A3343" s="59"/>
      <c r="B3343" s="59"/>
      <c r="C3343" s="59"/>
      <c r="D3343" s="59"/>
      <c r="E3343" s="59"/>
    </row>
    <row r="3344">
      <c r="A3344" s="59"/>
      <c r="B3344" s="59"/>
      <c r="C3344" s="59"/>
      <c r="D3344" s="59"/>
      <c r="E3344" s="59"/>
    </row>
    <row r="3345">
      <c r="A3345" s="59"/>
      <c r="B3345" s="59"/>
      <c r="C3345" s="59"/>
      <c r="D3345" s="59"/>
      <c r="E3345" s="59"/>
    </row>
    <row r="3346">
      <c r="A3346" s="59"/>
      <c r="B3346" s="59"/>
      <c r="C3346" s="59"/>
      <c r="D3346" s="59"/>
      <c r="E3346" s="59"/>
    </row>
    <row r="3347">
      <c r="A3347" s="59"/>
      <c r="B3347" s="59"/>
      <c r="C3347" s="59"/>
      <c r="D3347" s="59"/>
      <c r="E3347" s="59"/>
    </row>
    <row r="3348">
      <c r="A3348" s="59"/>
      <c r="B3348" s="59"/>
      <c r="C3348" s="59"/>
      <c r="D3348" s="59"/>
      <c r="E3348" s="59"/>
    </row>
    <row r="3349">
      <c r="A3349" s="59"/>
      <c r="B3349" s="59"/>
      <c r="C3349" s="59"/>
      <c r="D3349" s="59"/>
      <c r="E3349" s="59"/>
    </row>
    <row r="3350">
      <c r="A3350" s="59"/>
      <c r="B3350" s="59"/>
      <c r="C3350" s="59"/>
      <c r="D3350" s="59"/>
      <c r="E3350" s="59"/>
    </row>
    <row r="3351">
      <c r="A3351" s="59"/>
      <c r="B3351" s="59"/>
      <c r="C3351" s="59"/>
      <c r="D3351" s="59"/>
      <c r="E3351" s="59"/>
    </row>
    <row r="3352">
      <c r="A3352" s="59"/>
      <c r="B3352" s="59"/>
      <c r="C3352" s="59"/>
      <c r="D3352" s="59"/>
      <c r="E3352" s="59"/>
    </row>
    <row r="3353">
      <c r="A3353" s="59"/>
      <c r="B3353" s="59"/>
      <c r="C3353" s="59"/>
      <c r="D3353" s="59"/>
      <c r="E3353" s="59"/>
    </row>
    <row r="3354">
      <c r="A3354" s="59"/>
      <c r="B3354" s="59"/>
      <c r="C3354" s="59"/>
      <c r="D3354" s="59"/>
      <c r="E3354" s="59"/>
    </row>
    <row r="3355">
      <c r="A3355" s="59"/>
      <c r="B3355" s="59"/>
      <c r="C3355" s="59"/>
      <c r="D3355" s="59"/>
      <c r="E3355" s="59"/>
    </row>
    <row r="3356">
      <c r="A3356" s="59"/>
      <c r="B3356" s="59"/>
      <c r="C3356" s="59"/>
      <c r="D3356" s="59"/>
      <c r="E3356" s="59"/>
    </row>
    <row r="3357">
      <c r="A3357" s="59"/>
      <c r="B3357" s="59"/>
      <c r="C3357" s="59"/>
      <c r="D3357" s="59"/>
      <c r="E3357" s="59"/>
    </row>
    <row r="3358">
      <c r="A3358" s="59"/>
      <c r="B3358" s="59"/>
      <c r="C3358" s="59"/>
      <c r="D3358" s="59"/>
      <c r="E3358" s="59"/>
    </row>
    <row r="3359">
      <c r="A3359" s="59"/>
      <c r="B3359" s="59"/>
      <c r="C3359" s="59"/>
      <c r="D3359" s="59"/>
      <c r="E3359" s="59"/>
    </row>
    <row r="3360">
      <c r="A3360" s="59"/>
      <c r="B3360" s="59"/>
      <c r="C3360" s="59"/>
      <c r="D3360" s="59"/>
      <c r="E3360" s="59"/>
    </row>
    <row r="3361">
      <c r="A3361" s="59"/>
      <c r="B3361" s="59"/>
      <c r="C3361" s="59"/>
      <c r="D3361" s="59"/>
      <c r="E3361" s="59"/>
    </row>
    <row r="3362">
      <c r="A3362" s="59"/>
      <c r="B3362" s="59"/>
      <c r="C3362" s="59"/>
      <c r="D3362" s="59"/>
      <c r="E3362" s="59"/>
    </row>
    <row r="3363">
      <c r="A3363" s="59"/>
      <c r="B3363" s="59"/>
      <c r="C3363" s="59"/>
      <c r="D3363" s="59"/>
      <c r="E3363" s="59"/>
    </row>
    <row r="3364">
      <c r="A3364" s="59"/>
      <c r="B3364" s="59"/>
      <c r="C3364" s="59"/>
      <c r="D3364" s="59"/>
      <c r="E3364" s="59"/>
    </row>
    <row r="3365">
      <c r="A3365" s="59"/>
      <c r="B3365" s="59"/>
      <c r="C3365" s="59"/>
      <c r="D3365" s="59"/>
      <c r="E3365" s="59"/>
    </row>
    <row r="3366">
      <c r="A3366" s="59"/>
      <c r="B3366" s="59"/>
      <c r="C3366" s="59"/>
      <c r="D3366" s="59"/>
      <c r="E3366" s="59"/>
    </row>
    <row r="3367">
      <c r="A3367" s="59"/>
      <c r="B3367" s="59"/>
      <c r="C3367" s="59"/>
      <c r="D3367" s="59"/>
      <c r="E3367" s="59"/>
    </row>
    <row r="3368">
      <c r="A3368" s="59"/>
      <c r="B3368" s="59"/>
      <c r="C3368" s="59"/>
      <c r="D3368" s="59"/>
      <c r="E3368" s="59"/>
    </row>
    <row r="3369">
      <c r="A3369" s="59"/>
      <c r="B3369" s="59"/>
      <c r="C3369" s="59"/>
      <c r="D3369" s="59"/>
      <c r="E3369" s="59"/>
    </row>
    <row r="3370">
      <c r="A3370" s="59"/>
      <c r="B3370" s="59"/>
      <c r="C3370" s="59"/>
      <c r="D3370" s="59"/>
      <c r="E3370" s="59"/>
    </row>
    <row r="3371">
      <c r="A3371" s="59"/>
      <c r="B3371" s="59"/>
      <c r="C3371" s="59"/>
      <c r="D3371" s="59"/>
      <c r="E3371" s="59"/>
    </row>
    <row r="3372">
      <c r="A3372" s="59"/>
      <c r="B3372" s="59"/>
      <c r="C3372" s="59"/>
      <c r="D3372" s="59"/>
      <c r="E3372" s="59"/>
    </row>
    <row r="3373">
      <c r="A3373" s="59"/>
      <c r="B3373" s="59"/>
      <c r="C3373" s="59"/>
      <c r="D3373" s="59"/>
      <c r="E3373" s="59"/>
    </row>
    <row r="3374">
      <c r="A3374" s="59"/>
      <c r="B3374" s="59"/>
      <c r="C3374" s="59"/>
      <c r="D3374" s="59"/>
      <c r="E3374" s="59"/>
    </row>
    <row r="3375">
      <c r="A3375" s="59"/>
      <c r="B3375" s="59"/>
      <c r="C3375" s="59"/>
      <c r="D3375" s="59"/>
      <c r="E3375" s="59"/>
    </row>
    <row r="3376">
      <c r="A3376" s="59"/>
      <c r="B3376" s="59"/>
      <c r="C3376" s="59"/>
      <c r="D3376" s="59"/>
      <c r="E3376" s="59"/>
    </row>
    <row r="3377">
      <c r="A3377" s="59"/>
      <c r="B3377" s="59"/>
      <c r="C3377" s="59"/>
      <c r="D3377" s="59"/>
      <c r="E3377" s="59"/>
    </row>
    <row r="3378">
      <c r="A3378" s="59"/>
      <c r="B3378" s="59"/>
      <c r="C3378" s="59"/>
      <c r="D3378" s="59"/>
      <c r="E3378" s="59"/>
    </row>
    <row r="3379">
      <c r="A3379" s="59"/>
      <c r="B3379" s="59"/>
      <c r="C3379" s="59"/>
      <c r="D3379" s="59"/>
      <c r="E3379" s="59"/>
    </row>
    <row r="3380">
      <c r="A3380" s="59"/>
      <c r="B3380" s="59"/>
      <c r="C3380" s="59"/>
      <c r="D3380" s="59"/>
      <c r="E3380" s="59"/>
    </row>
    <row r="3381">
      <c r="A3381" s="59"/>
      <c r="B3381" s="59"/>
      <c r="C3381" s="59"/>
      <c r="D3381" s="59"/>
      <c r="E3381" s="59"/>
    </row>
    <row r="3382">
      <c r="A3382" s="59"/>
      <c r="B3382" s="59"/>
      <c r="C3382" s="59"/>
      <c r="D3382" s="59"/>
      <c r="E3382" s="59"/>
    </row>
    <row r="3383">
      <c r="A3383" s="59"/>
      <c r="B3383" s="59"/>
      <c r="C3383" s="59"/>
      <c r="D3383" s="59"/>
      <c r="E3383" s="59"/>
    </row>
    <row r="3384">
      <c r="A3384" s="59"/>
      <c r="B3384" s="59"/>
      <c r="C3384" s="59"/>
      <c r="D3384" s="59"/>
      <c r="E3384" s="59"/>
    </row>
    <row r="3385">
      <c r="A3385" s="59"/>
      <c r="B3385" s="59"/>
      <c r="C3385" s="59"/>
      <c r="D3385" s="59"/>
      <c r="E3385" s="59"/>
    </row>
    <row r="3386">
      <c r="A3386" s="59"/>
      <c r="B3386" s="59"/>
      <c r="C3386" s="59"/>
      <c r="D3386" s="59"/>
      <c r="E3386" s="59"/>
    </row>
    <row r="3387">
      <c r="A3387" s="59"/>
      <c r="B3387" s="59"/>
      <c r="C3387" s="59"/>
      <c r="D3387" s="59"/>
      <c r="E3387" s="59"/>
    </row>
    <row r="3388">
      <c r="A3388" s="59"/>
      <c r="B3388" s="59"/>
      <c r="C3388" s="59"/>
      <c r="D3388" s="59"/>
      <c r="E3388" s="59"/>
    </row>
    <row r="3389">
      <c r="A3389" s="59"/>
      <c r="B3389" s="59"/>
      <c r="C3389" s="59"/>
      <c r="D3389" s="59"/>
      <c r="E3389" s="59"/>
    </row>
    <row r="3390">
      <c r="A3390" s="59"/>
      <c r="B3390" s="59"/>
      <c r="C3390" s="59"/>
      <c r="D3390" s="59"/>
      <c r="E3390" s="59"/>
    </row>
    <row r="3391">
      <c r="A3391" s="59"/>
      <c r="B3391" s="59"/>
      <c r="C3391" s="59"/>
      <c r="D3391" s="59"/>
      <c r="E3391" s="59"/>
    </row>
    <row r="3392">
      <c r="A3392" s="59"/>
      <c r="B3392" s="59"/>
      <c r="C3392" s="59"/>
      <c r="D3392" s="59"/>
      <c r="E3392" s="59"/>
    </row>
    <row r="3393">
      <c r="A3393" s="59"/>
      <c r="B3393" s="59"/>
      <c r="C3393" s="59"/>
      <c r="D3393" s="59"/>
      <c r="E3393" s="59"/>
    </row>
    <row r="3394">
      <c r="A3394" s="59"/>
      <c r="B3394" s="59"/>
      <c r="C3394" s="59"/>
      <c r="D3394" s="59"/>
      <c r="E3394" s="59"/>
    </row>
    <row r="3395">
      <c r="A3395" s="59"/>
      <c r="B3395" s="59"/>
      <c r="C3395" s="59"/>
      <c r="D3395" s="59"/>
      <c r="E3395" s="59"/>
    </row>
    <row r="3396">
      <c r="A3396" s="59"/>
      <c r="B3396" s="59"/>
      <c r="C3396" s="59"/>
      <c r="D3396" s="59"/>
      <c r="E3396" s="59"/>
    </row>
    <row r="3397">
      <c r="A3397" s="59"/>
      <c r="B3397" s="59"/>
      <c r="C3397" s="59"/>
      <c r="D3397" s="59"/>
      <c r="E3397" s="59"/>
    </row>
    <row r="3398">
      <c r="A3398" s="59"/>
      <c r="B3398" s="59"/>
      <c r="C3398" s="59"/>
      <c r="D3398" s="59"/>
      <c r="E3398" s="59"/>
    </row>
    <row r="3399">
      <c r="A3399" s="59"/>
      <c r="B3399" s="59"/>
      <c r="C3399" s="59"/>
      <c r="D3399" s="59"/>
      <c r="E3399" s="59"/>
    </row>
    <row r="3400">
      <c r="A3400" s="59"/>
      <c r="B3400" s="59"/>
      <c r="C3400" s="59"/>
      <c r="D3400" s="59"/>
      <c r="E3400" s="59"/>
    </row>
    <row r="3401">
      <c r="A3401" s="59"/>
      <c r="B3401" s="59"/>
      <c r="C3401" s="59"/>
      <c r="D3401" s="59"/>
      <c r="E3401" s="59"/>
    </row>
    <row r="3402">
      <c r="A3402" s="59"/>
      <c r="B3402" s="59"/>
      <c r="C3402" s="59"/>
      <c r="D3402" s="59"/>
      <c r="E3402" s="59"/>
    </row>
    <row r="3403">
      <c r="A3403" s="59"/>
      <c r="B3403" s="59"/>
      <c r="C3403" s="59"/>
      <c r="D3403" s="59"/>
      <c r="E3403" s="59"/>
    </row>
    <row r="3404">
      <c r="A3404" s="59"/>
      <c r="B3404" s="59"/>
      <c r="C3404" s="59"/>
      <c r="D3404" s="59"/>
      <c r="E3404" s="59"/>
    </row>
    <row r="3405">
      <c r="A3405" s="59"/>
      <c r="B3405" s="59"/>
      <c r="C3405" s="59"/>
      <c r="D3405" s="59"/>
      <c r="E3405" s="59"/>
    </row>
  </sheetData>
  <autoFilter ref="$A$1:$Z$3405"/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  <hyperlink r:id="rId134" ref="E135"/>
    <hyperlink r:id="rId135" ref="E136"/>
    <hyperlink r:id="rId136" ref="E137"/>
    <hyperlink r:id="rId137" ref="E138"/>
    <hyperlink r:id="rId138" ref="E139"/>
    <hyperlink r:id="rId139" ref="E140"/>
    <hyperlink r:id="rId140" ref="E141"/>
    <hyperlink r:id="rId141" ref="E142"/>
    <hyperlink r:id="rId142" ref="E143"/>
    <hyperlink r:id="rId143" ref="E144"/>
    <hyperlink r:id="rId144" ref="E145"/>
    <hyperlink r:id="rId145" ref="E146"/>
    <hyperlink r:id="rId146" ref="E147"/>
    <hyperlink r:id="rId147" ref="E148"/>
    <hyperlink r:id="rId148" ref="E149"/>
    <hyperlink r:id="rId149" ref="E150"/>
    <hyperlink r:id="rId150" ref="E151"/>
    <hyperlink r:id="rId151" ref="E152"/>
    <hyperlink r:id="rId152" ref="E153"/>
    <hyperlink r:id="rId153" ref="E154"/>
    <hyperlink r:id="rId154" ref="E155"/>
    <hyperlink r:id="rId155" ref="E156"/>
    <hyperlink r:id="rId156" ref="E157"/>
    <hyperlink r:id="rId157" ref="E158"/>
    <hyperlink r:id="rId158" ref="E159"/>
    <hyperlink r:id="rId159" ref="E160"/>
    <hyperlink r:id="rId160" ref="E161"/>
    <hyperlink r:id="rId161" ref="E162"/>
    <hyperlink r:id="rId162" ref="E163"/>
    <hyperlink r:id="rId163" ref="E164"/>
    <hyperlink r:id="rId164" ref="E165"/>
    <hyperlink r:id="rId165" ref="E166"/>
    <hyperlink r:id="rId166" ref="E167"/>
    <hyperlink r:id="rId167" ref="E168"/>
    <hyperlink r:id="rId168" ref="E169"/>
    <hyperlink r:id="rId169" ref="E170"/>
    <hyperlink r:id="rId170" ref="E171"/>
    <hyperlink r:id="rId171" ref="E172"/>
    <hyperlink r:id="rId172" ref="E173"/>
    <hyperlink r:id="rId173" ref="E174"/>
    <hyperlink r:id="rId174" ref="E175"/>
    <hyperlink r:id="rId175" ref="E176"/>
    <hyperlink r:id="rId176" ref="E177"/>
    <hyperlink r:id="rId177" ref="E178"/>
    <hyperlink r:id="rId178" ref="E179"/>
    <hyperlink r:id="rId179" ref="E180"/>
    <hyperlink r:id="rId180" ref="E181"/>
    <hyperlink r:id="rId181" ref="E182"/>
    <hyperlink r:id="rId182" ref="E183"/>
    <hyperlink r:id="rId183" ref="E184"/>
    <hyperlink r:id="rId184" ref="E185"/>
    <hyperlink r:id="rId185" ref="E186"/>
    <hyperlink r:id="rId186" ref="E187"/>
    <hyperlink r:id="rId187" ref="E188"/>
    <hyperlink r:id="rId188" ref="E189"/>
    <hyperlink r:id="rId189" ref="E190"/>
    <hyperlink r:id="rId190" ref="E191"/>
    <hyperlink r:id="rId191" ref="E192"/>
    <hyperlink r:id="rId192" ref="E193"/>
    <hyperlink r:id="rId193" ref="E194"/>
    <hyperlink r:id="rId194" ref="E195"/>
    <hyperlink r:id="rId195" ref="E196"/>
    <hyperlink r:id="rId196" ref="E197"/>
    <hyperlink r:id="rId197" ref="E198"/>
    <hyperlink r:id="rId198" ref="E199"/>
    <hyperlink r:id="rId199" ref="E200"/>
    <hyperlink r:id="rId200" ref="E201"/>
    <hyperlink r:id="rId201" ref="E202"/>
    <hyperlink r:id="rId202" ref="E203"/>
    <hyperlink r:id="rId203" ref="E204"/>
    <hyperlink r:id="rId204" ref="E205"/>
    <hyperlink r:id="rId205" ref="E206"/>
    <hyperlink r:id="rId206" ref="E207"/>
    <hyperlink r:id="rId207" ref="E208"/>
    <hyperlink r:id="rId208" ref="E209"/>
    <hyperlink r:id="rId209" ref="E210"/>
    <hyperlink r:id="rId210" ref="E211"/>
    <hyperlink r:id="rId211" ref="E212"/>
    <hyperlink r:id="rId212" ref="E213"/>
    <hyperlink r:id="rId213" ref="E214"/>
    <hyperlink r:id="rId214" ref="E215"/>
    <hyperlink r:id="rId215" ref="E216"/>
    <hyperlink r:id="rId216" ref="E217"/>
    <hyperlink r:id="rId217" ref="E218"/>
    <hyperlink r:id="rId218" ref="E219"/>
    <hyperlink r:id="rId219" ref="E220"/>
    <hyperlink r:id="rId220" ref="E221"/>
    <hyperlink r:id="rId221" ref="E222"/>
    <hyperlink r:id="rId222" ref="E223"/>
    <hyperlink r:id="rId223" ref="E224"/>
    <hyperlink r:id="rId224" ref="E225"/>
    <hyperlink r:id="rId225" ref="E226"/>
    <hyperlink r:id="rId226" ref="E227"/>
    <hyperlink r:id="rId227" ref="E228"/>
    <hyperlink r:id="rId228" ref="E229"/>
    <hyperlink r:id="rId229" ref="E230"/>
    <hyperlink r:id="rId230" ref="E231"/>
    <hyperlink r:id="rId231" ref="E232"/>
    <hyperlink r:id="rId232" ref="E233"/>
    <hyperlink r:id="rId233" ref="E234"/>
    <hyperlink r:id="rId234" ref="E235"/>
    <hyperlink r:id="rId235" ref="E236"/>
    <hyperlink r:id="rId236" ref="E237"/>
    <hyperlink r:id="rId237" ref="E238"/>
    <hyperlink r:id="rId238" ref="E239"/>
    <hyperlink r:id="rId239" ref="E240"/>
    <hyperlink r:id="rId240" ref="E241"/>
    <hyperlink r:id="rId241" ref="E242"/>
    <hyperlink r:id="rId242" ref="E243"/>
    <hyperlink r:id="rId243" ref="E244"/>
    <hyperlink r:id="rId244" ref="E245"/>
    <hyperlink r:id="rId245" ref="E246"/>
    <hyperlink r:id="rId246" ref="E247"/>
    <hyperlink r:id="rId247" ref="E248"/>
    <hyperlink r:id="rId248" ref="E249"/>
    <hyperlink r:id="rId249" ref="E250"/>
    <hyperlink r:id="rId250" ref="E251"/>
    <hyperlink r:id="rId251" ref="E252"/>
    <hyperlink r:id="rId252" ref="E253"/>
    <hyperlink r:id="rId253" ref="E254"/>
    <hyperlink r:id="rId254" ref="E255"/>
    <hyperlink r:id="rId255" ref="E256"/>
    <hyperlink r:id="rId256" ref="E257"/>
    <hyperlink r:id="rId257" ref="E258"/>
    <hyperlink r:id="rId258" ref="E259"/>
    <hyperlink r:id="rId259" ref="E260"/>
    <hyperlink r:id="rId260" ref="E261"/>
    <hyperlink r:id="rId261" ref="E262"/>
    <hyperlink r:id="rId262" ref="E263"/>
    <hyperlink r:id="rId263" ref="E264"/>
    <hyperlink r:id="rId264" ref="E265"/>
    <hyperlink r:id="rId265" ref="E266"/>
    <hyperlink r:id="rId266" ref="E267"/>
    <hyperlink r:id="rId267" ref="E268"/>
    <hyperlink r:id="rId268" ref="E269"/>
    <hyperlink r:id="rId269" ref="E270"/>
    <hyperlink r:id="rId270" ref="E271"/>
    <hyperlink r:id="rId271" ref="E272"/>
    <hyperlink r:id="rId272" ref="E273"/>
    <hyperlink r:id="rId273" ref="E274"/>
    <hyperlink r:id="rId274" ref="E275"/>
    <hyperlink r:id="rId275" ref="E276"/>
    <hyperlink r:id="rId276" ref="E277"/>
    <hyperlink r:id="rId277" ref="E278"/>
    <hyperlink r:id="rId278" ref="E279"/>
    <hyperlink r:id="rId279" ref="E280"/>
    <hyperlink r:id="rId280" ref="E281"/>
    <hyperlink r:id="rId281" ref="E282"/>
    <hyperlink r:id="rId282" ref="E283"/>
    <hyperlink r:id="rId283" ref="E284"/>
    <hyperlink r:id="rId284" ref="E285"/>
    <hyperlink r:id="rId285" ref="E286"/>
    <hyperlink r:id="rId286" ref="E287"/>
    <hyperlink r:id="rId287" ref="E288"/>
    <hyperlink r:id="rId288" ref="E289"/>
    <hyperlink r:id="rId289" ref="E290"/>
    <hyperlink r:id="rId290" ref="E291"/>
    <hyperlink r:id="rId291" ref="E292"/>
    <hyperlink r:id="rId292" ref="E293"/>
    <hyperlink r:id="rId293" ref="E294"/>
    <hyperlink r:id="rId294" ref="E295"/>
    <hyperlink r:id="rId295" ref="E296"/>
    <hyperlink r:id="rId296" ref="E297"/>
    <hyperlink r:id="rId297" ref="E298"/>
    <hyperlink r:id="rId298" ref="E299"/>
    <hyperlink r:id="rId299" ref="E300"/>
    <hyperlink r:id="rId300" ref="E301"/>
    <hyperlink r:id="rId301" ref="E302"/>
    <hyperlink r:id="rId302" ref="E303"/>
    <hyperlink r:id="rId303" ref="E304"/>
    <hyperlink r:id="rId304" ref="E305"/>
    <hyperlink r:id="rId305" ref="E306"/>
    <hyperlink r:id="rId306" ref="E307"/>
    <hyperlink r:id="rId307" ref="E308"/>
    <hyperlink r:id="rId308" ref="E309"/>
    <hyperlink r:id="rId309" ref="E310"/>
    <hyperlink r:id="rId310" ref="E311"/>
    <hyperlink r:id="rId311" ref="E312"/>
    <hyperlink r:id="rId312" ref="E313"/>
    <hyperlink r:id="rId313" ref="E314"/>
    <hyperlink r:id="rId314" ref="E315"/>
    <hyperlink r:id="rId315" ref="E316"/>
    <hyperlink r:id="rId316" ref="E317"/>
    <hyperlink r:id="rId317" ref="E318"/>
    <hyperlink r:id="rId318" ref="E319"/>
    <hyperlink r:id="rId319" ref="E320"/>
    <hyperlink r:id="rId320" ref="E321"/>
    <hyperlink r:id="rId321" ref="E322"/>
    <hyperlink r:id="rId322" ref="E323"/>
    <hyperlink r:id="rId323" ref="E324"/>
    <hyperlink r:id="rId324" ref="E325"/>
    <hyperlink r:id="rId325" ref="E326"/>
    <hyperlink r:id="rId326" ref="E327"/>
    <hyperlink r:id="rId327" ref="E328"/>
    <hyperlink r:id="rId328" ref="E329"/>
    <hyperlink r:id="rId329" ref="E330"/>
    <hyperlink r:id="rId330" ref="E331"/>
    <hyperlink r:id="rId331" ref="E332"/>
    <hyperlink r:id="rId332" ref="E333"/>
    <hyperlink r:id="rId333" ref="E334"/>
    <hyperlink r:id="rId334" ref="E335"/>
    <hyperlink r:id="rId335" ref="E336"/>
    <hyperlink r:id="rId336" ref="E337"/>
    <hyperlink r:id="rId337" ref="E338"/>
    <hyperlink r:id="rId338" ref="E339"/>
    <hyperlink r:id="rId339" ref="E340"/>
    <hyperlink r:id="rId340" ref="E341"/>
    <hyperlink r:id="rId341" ref="E342"/>
    <hyperlink r:id="rId342" ref="E343"/>
    <hyperlink r:id="rId343" ref="E344"/>
    <hyperlink r:id="rId344" ref="E345"/>
    <hyperlink r:id="rId345" ref="E346"/>
    <hyperlink r:id="rId346" ref="E347"/>
    <hyperlink r:id="rId347" ref="E348"/>
    <hyperlink r:id="rId348" ref="E349"/>
    <hyperlink r:id="rId349" ref="E350"/>
    <hyperlink r:id="rId350" ref="E351"/>
    <hyperlink r:id="rId351" ref="E352"/>
    <hyperlink r:id="rId352" ref="E353"/>
    <hyperlink r:id="rId353" ref="E354"/>
    <hyperlink r:id="rId354" ref="E355"/>
    <hyperlink r:id="rId355" ref="E356"/>
    <hyperlink r:id="rId356" ref="E357"/>
    <hyperlink r:id="rId357" ref="E358"/>
    <hyperlink r:id="rId358" ref="E359"/>
    <hyperlink r:id="rId359" ref="E360"/>
    <hyperlink r:id="rId360" ref="E361"/>
    <hyperlink r:id="rId361" ref="E362"/>
    <hyperlink r:id="rId362" ref="E363"/>
    <hyperlink r:id="rId363" ref="E364"/>
    <hyperlink r:id="rId364" ref="E365"/>
    <hyperlink r:id="rId365" ref="E366"/>
    <hyperlink r:id="rId366" ref="E367"/>
    <hyperlink r:id="rId367" ref="E368"/>
    <hyperlink r:id="rId368" ref="E369"/>
    <hyperlink r:id="rId369" ref="E370"/>
    <hyperlink r:id="rId370" ref="E371"/>
    <hyperlink r:id="rId371" ref="E372"/>
    <hyperlink r:id="rId372" ref="E373"/>
    <hyperlink r:id="rId373" ref="E374"/>
    <hyperlink r:id="rId374" ref="E375"/>
    <hyperlink r:id="rId375" ref="E376"/>
    <hyperlink r:id="rId376" ref="E377"/>
    <hyperlink r:id="rId377" ref="E378"/>
    <hyperlink r:id="rId378" ref="E379"/>
    <hyperlink r:id="rId379" ref="E380"/>
    <hyperlink r:id="rId380" ref="E381"/>
    <hyperlink r:id="rId381" ref="E382"/>
    <hyperlink r:id="rId382" ref="E383"/>
    <hyperlink r:id="rId383" ref="E384"/>
    <hyperlink r:id="rId384" ref="E385"/>
    <hyperlink r:id="rId385" ref="E386"/>
    <hyperlink r:id="rId386" ref="E387"/>
    <hyperlink r:id="rId387" ref="E388"/>
    <hyperlink r:id="rId388" ref="E389"/>
    <hyperlink r:id="rId389" ref="E390"/>
    <hyperlink r:id="rId390" ref="E391"/>
    <hyperlink r:id="rId391" ref="E392"/>
    <hyperlink r:id="rId392" ref="E393"/>
    <hyperlink r:id="rId393" ref="E394"/>
    <hyperlink r:id="rId394" ref="E395"/>
    <hyperlink r:id="rId395" ref="E396"/>
    <hyperlink r:id="rId396" ref="E397"/>
    <hyperlink r:id="rId397" ref="E398"/>
    <hyperlink r:id="rId398" ref="E399"/>
    <hyperlink r:id="rId399" ref="E400"/>
    <hyperlink r:id="rId400" ref="E401"/>
    <hyperlink r:id="rId401" ref="E402"/>
    <hyperlink r:id="rId402" ref="E403"/>
    <hyperlink r:id="rId403" ref="E404"/>
    <hyperlink r:id="rId404" ref="E405"/>
    <hyperlink r:id="rId405" ref="E406"/>
    <hyperlink r:id="rId406" ref="E407"/>
    <hyperlink r:id="rId407" ref="E408"/>
    <hyperlink r:id="rId408" ref="E409"/>
    <hyperlink r:id="rId409" ref="E410"/>
    <hyperlink r:id="rId410" ref="E411"/>
    <hyperlink r:id="rId411" ref="E412"/>
    <hyperlink r:id="rId412" ref="E413"/>
    <hyperlink r:id="rId413" ref="E414"/>
    <hyperlink r:id="rId414" ref="E415"/>
    <hyperlink r:id="rId415" ref="E416"/>
    <hyperlink r:id="rId416" ref="E417"/>
    <hyperlink r:id="rId417" ref="E418"/>
    <hyperlink r:id="rId418" ref="E419"/>
    <hyperlink r:id="rId419" ref="E420"/>
    <hyperlink r:id="rId420" ref="E421"/>
    <hyperlink r:id="rId421" ref="E422"/>
    <hyperlink r:id="rId422" ref="E423"/>
    <hyperlink r:id="rId423" ref="E424"/>
    <hyperlink r:id="rId424" ref="E425"/>
    <hyperlink r:id="rId425" ref="E426"/>
    <hyperlink r:id="rId426" ref="E427"/>
    <hyperlink r:id="rId427" ref="E428"/>
    <hyperlink r:id="rId428" ref="E429"/>
    <hyperlink r:id="rId429" ref="E430"/>
    <hyperlink r:id="rId430" ref="E431"/>
    <hyperlink r:id="rId431" ref="E432"/>
    <hyperlink r:id="rId432" ref="E433"/>
    <hyperlink r:id="rId433" ref="E434"/>
    <hyperlink r:id="rId434" ref="E435"/>
    <hyperlink r:id="rId435" ref="E436"/>
    <hyperlink r:id="rId436" ref="E437"/>
    <hyperlink r:id="rId437" ref="E438"/>
    <hyperlink r:id="rId438" ref="E439"/>
    <hyperlink r:id="rId439" ref="E440"/>
    <hyperlink r:id="rId440" ref="E441"/>
    <hyperlink r:id="rId441" ref="E442"/>
    <hyperlink r:id="rId442" ref="E443"/>
    <hyperlink r:id="rId443" ref="E444"/>
    <hyperlink r:id="rId444" ref="E445"/>
    <hyperlink r:id="rId445" ref="E446"/>
    <hyperlink r:id="rId446" ref="E447"/>
    <hyperlink r:id="rId447" ref="E448"/>
    <hyperlink r:id="rId448" ref="E449"/>
    <hyperlink r:id="rId449" ref="E450"/>
    <hyperlink r:id="rId450" ref="E451"/>
    <hyperlink r:id="rId451" ref="E452"/>
    <hyperlink r:id="rId452" ref="E453"/>
    <hyperlink r:id="rId453" ref="E454"/>
    <hyperlink r:id="rId454" ref="E455"/>
    <hyperlink r:id="rId455" ref="E456"/>
    <hyperlink r:id="rId456" ref="E457"/>
    <hyperlink r:id="rId457" ref="E458"/>
    <hyperlink r:id="rId458" ref="E459"/>
    <hyperlink r:id="rId459" ref="E460"/>
    <hyperlink r:id="rId460" ref="E461"/>
    <hyperlink r:id="rId461" ref="E462"/>
    <hyperlink r:id="rId462" ref="E463"/>
    <hyperlink r:id="rId463" ref="E464"/>
    <hyperlink r:id="rId464" ref="E465"/>
    <hyperlink r:id="rId465" ref="E466"/>
    <hyperlink r:id="rId466" ref="E467"/>
    <hyperlink r:id="rId467" ref="E468"/>
    <hyperlink r:id="rId468" ref="E469"/>
    <hyperlink r:id="rId469" ref="E470"/>
    <hyperlink r:id="rId470" ref="E471"/>
    <hyperlink r:id="rId471" ref="E472"/>
    <hyperlink r:id="rId472" ref="E473"/>
    <hyperlink r:id="rId473" ref="E474"/>
    <hyperlink r:id="rId474" ref="E475"/>
    <hyperlink r:id="rId475" ref="E476"/>
    <hyperlink r:id="rId476" ref="E477"/>
    <hyperlink r:id="rId477" ref="E478"/>
    <hyperlink r:id="rId478" ref="E479"/>
    <hyperlink r:id="rId479" ref="E480"/>
    <hyperlink r:id="rId480" ref="E481"/>
    <hyperlink r:id="rId481" ref="E482"/>
    <hyperlink r:id="rId482" ref="E483"/>
    <hyperlink r:id="rId483" ref="E484"/>
    <hyperlink r:id="rId484" ref="E485"/>
    <hyperlink r:id="rId485" ref="E486"/>
    <hyperlink r:id="rId486" ref="E487"/>
    <hyperlink r:id="rId487" ref="E488"/>
    <hyperlink r:id="rId488" ref="E489"/>
    <hyperlink r:id="rId489" ref="E490"/>
    <hyperlink r:id="rId490" ref="E491"/>
    <hyperlink r:id="rId491" ref="E492"/>
    <hyperlink r:id="rId492" ref="E493"/>
    <hyperlink r:id="rId493" ref="E494"/>
    <hyperlink r:id="rId494" ref="E495"/>
    <hyperlink r:id="rId495" ref="E496"/>
    <hyperlink r:id="rId496" ref="E497"/>
    <hyperlink r:id="rId497" ref="E498"/>
    <hyperlink r:id="rId498" ref="E499"/>
    <hyperlink r:id="rId499" ref="E500"/>
    <hyperlink r:id="rId500" ref="E501"/>
    <hyperlink r:id="rId501" ref="E502"/>
    <hyperlink r:id="rId502" ref="E503"/>
    <hyperlink r:id="rId503" ref="E504"/>
    <hyperlink r:id="rId504" ref="E505"/>
    <hyperlink r:id="rId505" ref="E506"/>
    <hyperlink r:id="rId506" ref="E507"/>
    <hyperlink r:id="rId507" ref="E508"/>
    <hyperlink r:id="rId508" ref="E509"/>
    <hyperlink r:id="rId509" ref="E510"/>
    <hyperlink r:id="rId510" ref="E511"/>
    <hyperlink r:id="rId511" ref="E512"/>
    <hyperlink r:id="rId512" ref="E513"/>
    <hyperlink r:id="rId513" ref="E514"/>
    <hyperlink r:id="rId514" ref="E515"/>
    <hyperlink r:id="rId515" ref="E516"/>
    <hyperlink r:id="rId516" ref="E517"/>
    <hyperlink r:id="rId517" ref="E518"/>
    <hyperlink r:id="rId518" ref="E519"/>
    <hyperlink r:id="rId519" ref="E520"/>
    <hyperlink r:id="rId520" ref="E521"/>
    <hyperlink r:id="rId521" ref="E522"/>
    <hyperlink r:id="rId522" ref="E523"/>
    <hyperlink r:id="rId523" ref="E524"/>
    <hyperlink r:id="rId524" ref="E525"/>
    <hyperlink r:id="rId525" ref="E526"/>
    <hyperlink r:id="rId526" ref="E527"/>
    <hyperlink r:id="rId527" ref="E528"/>
    <hyperlink r:id="rId528" ref="E529"/>
    <hyperlink r:id="rId529" ref="E530"/>
    <hyperlink r:id="rId530" ref="E531"/>
    <hyperlink r:id="rId531" ref="E532"/>
    <hyperlink r:id="rId532" ref="E533"/>
    <hyperlink r:id="rId533" ref="E534"/>
    <hyperlink r:id="rId534" ref="E535"/>
    <hyperlink r:id="rId535" ref="E536"/>
    <hyperlink r:id="rId536" ref="E537"/>
    <hyperlink r:id="rId537" ref="E538"/>
    <hyperlink r:id="rId538" ref="E539"/>
    <hyperlink r:id="rId539" ref="E540"/>
    <hyperlink r:id="rId540" ref="E541"/>
    <hyperlink r:id="rId541" ref="E542"/>
    <hyperlink r:id="rId542" ref="E543"/>
    <hyperlink r:id="rId543" ref="E544"/>
    <hyperlink r:id="rId544" ref="E545"/>
    <hyperlink r:id="rId545" ref="E546"/>
    <hyperlink r:id="rId546" ref="E547"/>
    <hyperlink r:id="rId547" ref="E548"/>
    <hyperlink r:id="rId548" ref="E549"/>
    <hyperlink r:id="rId549" ref="E550"/>
    <hyperlink r:id="rId550" ref="E551"/>
    <hyperlink r:id="rId551" ref="E552"/>
    <hyperlink r:id="rId552" ref="E553"/>
    <hyperlink r:id="rId553" ref="E554"/>
    <hyperlink r:id="rId554" ref="E555"/>
    <hyperlink r:id="rId555" ref="E556"/>
    <hyperlink r:id="rId556" ref="E557"/>
    <hyperlink r:id="rId557" ref="E558"/>
    <hyperlink r:id="rId558" ref="E559"/>
    <hyperlink r:id="rId559" ref="E560"/>
    <hyperlink r:id="rId560" ref="E561"/>
    <hyperlink r:id="rId561" ref="E562"/>
    <hyperlink r:id="rId562" ref="E563"/>
    <hyperlink r:id="rId563" ref="E564"/>
    <hyperlink r:id="rId564" ref="E565"/>
    <hyperlink r:id="rId565" ref="E566"/>
    <hyperlink r:id="rId566" ref="E567"/>
    <hyperlink r:id="rId567" ref="E568"/>
    <hyperlink r:id="rId568" ref="E569"/>
    <hyperlink r:id="rId569" ref="E570"/>
    <hyperlink r:id="rId570" ref="E571"/>
    <hyperlink r:id="rId571" ref="E572"/>
    <hyperlink r:id="rId572" ref="E573"/>
    <hyperlink r:id="rId573" ref="E574"/>
    <hyperlink r:id="rId574" ref="E575"/>
    <hyperlink r:id="rId575" ref="E576"/>
    <hyperlink r:id="rId576" ref="E577"/>
    <hyperlink r:id="rId577" ref="E578"/>
    <hyperlink r:id="rId578" ref="E579"/>
    <hyperlink r:id="rId579" ref="E580"/>
    <hyperlink r:id="rId580" ref="E581"/>
    <hyperlink r:id="rId581" ref="E582"/>
    <hyperlink r:id="rId582" ref="E583"/>
    <hyperlink r:id="rId583" ref="E584"/>
    <hyperlink r:id="rId584" ref="E585"/>
    <hyperlink r:id="rId585" ref="E586"/>
    <hyperlink r:id="rId586" ref="E587"/>
    <hyperlink r:id="rId587" ref="E588"/>
    <hyperlink r:id="rId588" ref="E589"/>
    <hyperlink r:id="rId589" ref="E590"/>
    <hyperlink r:id="rId590" ref="E591"/>
    <hyperlink r:id="rId591" ref="E592"/>
    <hyperlink r:id="rId592" ref="E593"/>
    <hyperlink r:id="rId593" ref="E594"/>
    <hyperlink r:id="rId594" ref="E595"/>
    <hyperlink r:id="rId595" ref="E596"/>
    <hyperlink r:id="rId596" ref="E597"/>
    <hyperlink r:id="rId597" ref="E598"/>
    <hyperlink r:id="rId598" ref="E599"/>
    <hyperlink r:id="rId599" ref="E600"/>
    <hyperlink r:id="rId600" ref="E601"/>
    <hyperlink r:id="rId601" ref="E602"/>
    <hyperlink r:id="rId602" ref="E603"/>
    <hyperlink r:id="rId603" ref="E604"/>
    <hyperlink r:id="rId604" ref="E605"/>
    <hyperlink r:id="rId605" ref="E606"/>
    <hyperlink r:id="rId606" ref="E607"/>
    <hyperlink r:id="rId607" ref="E608"/>
    <hyperlink r:id="rId608" ref="E609"/>
    <hyperlink r:id="rId609" ref="E610"/>
    <hyperlink r:id="rId610" ref="E611"/>
    <hyperlink r:id="rId611" ref="E612"/>
    <hyperlink r:id="rId612" ref="E613"/>
    <hyperlink r:id="rId613" ref="E614"/>
    <hyperlink r:id="rId614" ref="E615"/>
    <hyperlink r:id="rId615" ref="E616"/>
    <hyperlink r:id="rId616" ref="E617"/>
    <hyperlink r:id="rId617" ref="E618"/>
    <hyperlink r:id="rId618" ref="E619"/>
    <hyperlink r:id="rId619" ref="E620"/>
    <hyperlink r:id="rId620" ref="E621"/>
    <hyperlink r:id="rId621" ref="E622"/>
    <hyperlink r:id="rId622" ref="E623"/>
    <hyperlink r:id="rId623" ref="E624"/>
    <hyperlink r:id="rId624" ref="E625"/>
    <hyperlink r:id="rId625" ref="E626"/>
    <hyperlink r:id="rId626" ref="E627"/>
    <hyperlink r:id="rId627" ref="E628"/>
    <hyperlink r:id="rId628" ref="E629"/>
    <hyperlink r:id="rId629" ref="E630"/>
    <hyperlink r:id="rId630" ref="E631"/>
    <hyperlink r:id="rId631" ref="E632"/>
    <hyperlink r:id="rId632" ref="E633"/>
    <hyperlink r:id="rId633" ref="E634"/>
    <hyperlink r:id="rId634" ref="E635"/>
    <hyperlink r:id="rId635" ref="E636"/>
    <hyperlink r:id="rId636" ref="E637"/>
    <hyperlink r:id="rId637" ref="E638"/>
    <hyperlink r:id="rId638" ref="E639"/>
    <hyperlink r:id="rId639" ref="E640"/>
    <hyperlink r:id="rId640" ref="E641"/>
    <hyperlink r:id="rId641" ref="E642"/>
    <hyperlink r:id="rId642" ref="E643"/>
    <hyperlink r:id="rId643" ref="E644"/>
    <hyperlink r:id="rId644" ref="E645"/>
    <hyperlink r:id="rId645" ref="E646"/>
    <hyperlink r:id="rId646" ref="E647"/>
    <hyperlink r:id="rId647" ref="E648"/>
    <hyperlink r:id="rId648" ref="E649"/>
    <hyperlink r:id="rId649" ref="E650"/>
    <hyperlink r:id="rId650" ref="E651"/>
    <hyperlink r:id="rId651" ref="E652"/>
    <hyperlink r:id="rId652" ref="E653"/>
    <hyperlink r:id="rId653" ref="E654"/>
    <hyperlink r:id="rId654" ref="E655"/>
    <hyperlink r:id="rId655" ref="E656"/>
    <hyperlink r:id="rId656" ref="E657"/>
    <hyperlink r:id="rId657" ref="E658"/>
    <hyperlink r:id="rId658" ref="E659"/>
    <hyperlink r:id="rId659" ref="E660"/>
    <hyperlink r:id="rId660" ref="E661"/>
    <hyperlink r:id="rId661" ref="E662"/>
    <hyperlink r:id="rId662" ref="E663"/>
    <hyperlink r:id="rId663" ref="E664"/>
    <hyperlink r:id="rId664" ref="E665"/>
    <hyperlink r:id="rId665" ref="E666"/>
    <hyperlink r:id="rId666" ref="E667"/>
    <hyperlink r:id="rId667" ref="E668"/>
    <hyperlink r:id="rId668" ref="E669"/>
    <hyperlink r:id="rId669" ref="E670"/>
    <hyperlink r:id="rId670" ref="E671"/>
    <hyperlink r:id="rId671" ref="E672"/>
    <hyperlink r:id="rId672" ref="E673"/>
    <hyperlink r:id="rId673" ref="E674"/>
    <hyperlink r:id="rId674" ref="E675"/>
    <hyperlink r:id="rId675" ref="E676"/>
    <hyperlink r:id="rId676" ref="E677"/>
    <hyperlink r:id="rId677" ref="E678"/>
    <hyperlink r:id="rId678" ref="E679"/>
    <hyperlink r:id="rId679" ref="E680"/>
    <hyperlink r:id="rId680" ref="E681"/>
    <hyperlink r:id="rId681" ref="E682"/>
    <hyperlink r:id="rId682" ref="E683"/>
    <hyperlink r:id="rId683" ref="E684"/>
    <hyperlink r:id="rId684" ref="E685"/>
    <hyperlink r:id="rId685" ref="E686"/>
    <hyperlink r:id="rId686" ref="E687"/>
    <hyperlink r:id="rId687" ref="E688"/>
    <hyperlink r:id="rId688" ref="E689"/>
    <hyperlink r:id="rId689" ref="E690"/>
    <hyperlink r:id="rId690" ref="E691"/>
    <hyperlink r:id="rId691" ref="E692"/>
    <hyperlink r:id="rId692" ref="E693"/>
    <hyperlink r:id="rId693" ref="E694"/>
    <hyperlink r:id="rId694" ref="E695"/>
    <hyperlink r:id="rId695" ref="E696"/>
    <hyperlink r:id="rId696" ref="E697"/>
    <hyperlink r:id="rId697" ref="E698"/>
    <hyperlink r:id="rId698" ref="E699"/>
    <hyperlink r:id="rId699" ref="E700"/>
    <hyperlink r:id="rId700" ref="E701"/>
    <hyperlink r:id="rId701" ref="E702"/>
    <hyperlink r:id="rId702" ref="E703"/>
    <hyperlink r:id="rId703" ref="E704"/>
    <hyperlink r:id="rId704" ref="E705"/>
    <hyperlink r:id="rId705" ref="E706"/>
    <hyperlink r:id="rId706" ref="E707"/>
    <hyperlink r:id="rId707" ref="E708"/>
    <hyperlink r:id="rId708" ref="E709"/>
    <hyperlink r:id="rId709" ref="E710"/>
    <hyperlink r:id="rId710" ref="E711"/>
    <hyperlink r:id="rId711" ref="E712"/>
    <hyperlink r:id="rId712" ref="E713"/>
    <hyperlink r:id="rId713" ref="E714"/>
    <hyperlink r:id="rId714" ref="E715"/>
    <hyperlink r:id="rId715" ref="E716"/>
    <hyperlink r:id="rId716" ref="E717"/>
    <hyperlink r:id="rId717" ref="E718"/>
    <hyperlink r:id="rId718" ref="E719"/>
    <hyperlink r:id="rId719" ref="E720"/>
    <hyperlink r:id="rId720" ref="E721"/>
    <hyperlink r:id="rId721" ref="E722"/>
    <hyperlink r:id="rId722" ref="E723"/>
    <hyperlink r:id="rId723" ref="E724"/>
    <hyperlink r:id="rId724" ref="E725"/>
    <hyperlink r:id="rId725" ref="E726"/>
    <hyperlink r:id="rId726" ref="E727"/>
    <hyperlink r:id="rId727" ref="E728"/>
    <hyperlink r:id="rId728" ref="E729"/>
    <hyperlink r:id="rId729" ref="E730"/>
    <hyperlink r:id="rId730" ref="E731"/>
    <hyperlink r:id="rId731" ref="E732"/>
    <hyperlink r:id="rId732" ref="E733"/>
    <hyperlink r:id="rId733" ref="E734"/>
    <hyperlink r:id="rId734" ref="E735"/>
    <hyperlink r:id="rId735" ref="E736"/>
    <hyperlink r:id="rId736" ref="E737"/>
    <hyperlink r:id="rId737" ref="E738"/>
    <hyperlink r:id="rId738" ref="E739"/>
    <hyperlink r:id="rId739" ref="E740"/>
    <hyperlink r:id="rId740" ref="E741"/>
    <hyperlink r:id="rId741" ref="E742"/>
    <hyperlink r:id="rId742" ref="E743"/>
    <hyperlink r:id="rId743" ref="E744"/>
    <hyperlink r:id="rId744" ref="E745"/>
    <hyperlink r:id="rId745" ref="E746"/>
    <hyperlink r:id="rId746" ref="E747"/>
    <hyperlink r:id="rId747" ref="E748"/>
    <hyperlink r:id="rId748" ref="E749"/>
    <hyperlink r:id="rId749" ref="E750"/>
    <hyperlink r:id="rId750" ref="E751"/>
    <hyperlink r:id="rId751" ref="E752"/>
    <hyperlink r:id="rId752" ref="E753"/>
    <hyperlink r:id="rId753" ref="E754"/>
    <hyperlink r:id="rId754" ref="E755"/>
    <hyperlink r:id="rId755" ref="E756"/>
    <hyperlink r:id="rId756" ref="E757"/>
    <hyperlink r:id="rId757" ref="E758"/>
    <hyperlink r:id="rId758" ref="E759"/>
    <hyperlink r:id="rId759" ref="E760"/>
    <hyperlink r:id="rId760" ref="E761"/>
    <hyperlink r:id="rId761" ref="E762"/>
    <hyperlink r:id="rId762" ref="E763"/>
    <hyperlink r:id="rId763" ref="E764"/>
    <hyperlink r:id="rId764" ref="E765"/>
    <hyperlink r:id="rId765" ref="E766"/>
    <hyperlink r:id="rId766" ref="E767"/>
    <hyperlink r:id="rId767" ref="E768"/>
    <hyperlink r:id="rId768" ref="E769"/>
    <hyperlink r:id="rId769" ref="E770"/>
    <hyperlink r:id="rId770" ref="E771"/>
    <hyperlink r:id="rId771" ref="E772"/>
    <hyperlink r:id="rId772" ref="E773"/>
    <hyperlink r:id="rId773" ref="E774"/>
    <hyperlink r:id="rId774" ref="E775"/>
    <hyperlink r:id="rId775" ref="E776"/>
    <hyperlink r:id="rId776" ref="E777"/>
    <hyperlink r:id="rId777" ref="E778"/>
    <hyperlink r:id="rId778" ref="E779"/>
    <hyperlink r:id="rId779" ref="E780"/>
    <hyperlink r:id="rId780" ref="E781"/>
    <hyperlink r:id="rId781" ref="E782"/>
    <hyperlink r:id="rId782" ref="E783"/>
    <hyperlink r:id="rId783" ref="E784"/>
    <hyperlink r:id="rId784" ref="E785"/>
    <hyperlink r:id="rId785" ref="E786"/>
    <hyperlink r:id="rId786" ref="E787"/>
    <hyperlink r:id="rId787" ref="E788"/>
    <hyperlink r:id="rId788" ref="E789"/>
    <hyperlink r:id="rId789" ref="E790"/>
    <hyperlink r:id="rId790" ref="E791"/>
    <hyperlink r:id="rId791" ref="E792"/>
    <hyperlink r:id="rId792" ref="E793"/>
    <hyperlink r:id="rId793" ref="E794"/>
    <hyperlink r:id="rId794" ref="E795"/>
    <hyperlink r:id="rId795" ref="E796"/>
    <hyperlink r:id="rId796" ref="E797"/>
    <hyperlink r:id="rId797" ref="E798"/>
    <hyperlink r:id="rId798" ref="E799"/>
    <hyperlink r:id="rId799" ref="E800"/>
    <hyperlink r:id="rId800" ref="E801"/>
    <hyperlink r:id="rId801" ref="E802"/>
    <hyperlink r:id="rId802" ref="E803"/>
    <hyperlink r:id="rId803" ref="E804"/>
    <hyperlink r:id="rId804" ref="E805"/>
    <hyperlink r:id="rId805" ref="E806"/>
    <hyperlink r:id="rId806" ref="E807"/>
    <hyperlink r:id="rId807" ref="E808"/>
    <hyperlink r:id="rId808" ref="E809"/>
    <hyperlink r:id="rId809" ref="E810"/>
    <hyperlink r:id="rId810" ref="E811"/>
    <hyperlink r:id="rId811" ref="E812"/>
    <hyperlink r:id="rId812" ref="E813"/>
    <hyperlink r:id="rId813" ref="E814"/>
    <hyperlink r:id="rId814" ref="E815"/>
    <hyperlink r:id="rId815" ref="E816"/>
    <hyperlink r:id="rId816" ref="E817"/>
    <hyperlink r:id="rId817" ref="E818"/>
    <hyperlink r:id="rId818" ref="E819"/>
    <hyperlink r:id="rId819" ref="E820"/>
    <hyperlink r:id="rId820" ref="E821"/>
    <hyperlink r:id="rId821" ref="E822"/>
    <hyperlink r:id="rId822" ref="E823"/>
    <hyperlink r:id="rId823" ref="E824"/>
    <hyperlink r:id="rId824" ref="E825"/>
    <hyperlink r:id="rId825" ref="E826"/>
    <hyperlink r:id="rId826" ref="E827"/>
    <hyperlink r:id="rId827" ref="E828"/>
    <hyperlink r:id="rId828" ref="E829"/>
    <hyperlink r:id="rId829" ref="E830"/>
    <hyperlink r:id="rId830" ref="E831"/>
    <hyperlink r:id="rId831" ref="E832"/>
    <hyperlink r:id="rId832" ref="E833"/>
    <hyperlink r:id="rId833" ref="E834"/>
    <hyperlink r:id="rId834" ref="E835"/>
    <hyperlink r:id="rId835" ref="E836"/>
    <hyperlink r:id="rId836" ref="E837"/>
    <hyperlink r:id="rId837" ref="E838"/>
    <hyperlink r:id="rId838" ref="E839"/>
    <hyperlink r:id="rId839" ref="E840"/>
    <hyperlink r:id="rId840" ref="E841"/>
    <hyperlink r:id="rId841" ref="E842"/>
    <hyperlink r:id="rId842" ref="E843"/>
    <hyperlink r:id="rId843" ref="E844"/>
    <hyperlink r:id="rId844" ref="E845"/>
    <hyperlink r:id="rId845" ref="E846"/>
    <hyperlink r:id="rId846" ref="E847"/>
    <hyperlink r:id="rId847" ref="E848"/>
    <hyperlink r:id="rId848" ref="E849"/>
    <hyperlink r:id="rId849" ref="E850"/>
    <hyperlink r:id="rId850" ref="E851"/>
    <hyperlink r:id="rId851" ref="E852"/>
    <hyperlink r:id="rId852" ref="E853"/>
    <hyperlink r:id="rId853" ref="E854"/>
    <hyperlink r:id="rId854" ref="E855"/>
    <hyperlink r:id="rId855" ref="E856"/>
    <hyperlink r:id="rId856" ref="E857"/>
    <hyperlink r:id="rId857" ref="E858"/>
    <hyperlink r:id="rId858" ref="E859"/>
    <hyperlink r:id="rId859" ref="E860"/>
    <hyperlink r:id="rId860" ref="E861"/>
    <hyperlink r:id="rId861" ref="E862"/>
    <hyperlink r:id="rId862" ref="E863"/>
    <hyperlink r:id="rId863" ref="E864"/>
    <hyperlink r:id="rId864" ref="E865"/>
    <hyperlink r:id="rId865" ref="E866"/>
    <hyperlink r:id="rId866" ref="E867"/>
    <hyperlink r:id="rId867" ref="E868"/>
    <hyperlink r:id="rId868" ref="E869"/>
    <hyperlink r:id="rId869" ref="E870"/>
    <hyperlink r:id="rId870" ref="E871"/>
    <hyperlink r:id="rId871" ref="E872"/>
    <hyperlink r:id="rId872" ref="E873"/>
    <hyperlink r:id="rId873" ref="E874"/>
    <hyperlink r:id="rId874" ref="E875"/>
    <hyperlink r:id="rId875" ref="E876"/>
    <hyperlink r:id="rId876" ref="E877"/>
    <hyperlink r:id="rId877" ref="E878"/>
    <hyperlink r:id="rId878" ref="E879"/>
    <hyperlink r:id="rId879" ref="E880"/>
    <hyperlink r:id="rId880" ref="E881"/>
    <hyperlink r:id="rId881" ref="E882"/>
    <hyperlink r:id="rId882" ref="E883"/>
    <hyperlink r:id="rId883" ref="E884"/>
    <hyperlink r:id="rId884" ref="E885"/>
    <hyperlink r:id="rId885" ref="E886"/>
    <hyperlink r:id="rId886" ref="E887"/>
    <hyperlink r:id="rId887" ref="E888"/>
    <hyperlink r:id="rId888" ref="E889"/>
    <hyperlink r:id="rId889" ref="E890"/>
    <hyperlink r:id="rId890" ref="E891"/>
    <hyperlink r:id="rId891" ref="E892"/>
    <hyperlink r:id="rId892" ref="E893"/>
    <hyperlink r:id="rId893" ref="E894"/>
    <hyperlink r:id="rId894" ref="E895"/>
    <hyperlink r:id="rId895" ref="E896"/>
    <hyperlink r:id="rId896" ref="E897"/>
    <hyperlink r:id="rId897" ref="E898"/>
    <hyperlink r:id="rId898" ref="E899"/>
    <hyperlink r:id="rId899" ref="E900"/>
    <hyperlink r:id="rId900" ref="E901"/>
    <hyperlink r:id="rId901" ref="E902"/>
    <hyperlink r:id="rId902" ref="E903"/>
    <hyperlink r:id="rId903" ref="E904"/>
    <hyperlink r:id="rId904" ref="E905"/>
    <hyperlink r:id="rId905" ref="E906"/>
    <hyperlink r:id="rId906" ref="E907"/>
    <hyperlink r:id="rId907" ref="E908"/>
    <hyperlink r:id="rId908" ref="E909"/>
    <hyperlink r:id="rId909" ref="E910"/>
    <hyperlink r:id="rId910" ref="E911"/>
    <hyperlink r:id="rId911" ref="E912"/>
    <hyperlink r:id="rId912" ref="E913"/>
    <hyperlink r:id="rId913" ref="E914"/>
    <hyperlink r:id="rId914" ref="E915"/>
    <hyperlink r:id="rId915" ref="E916"/>
    <hyperlink r:id="rId916" ref="E917"/>
    <hyperlink r:id="rId917" ref="E918"/>
    <hyperlink r:id="rId918" ref="E919"/>
    <hyperlink r:id="rId919" ref="E920"/>
    <hyperlink r:id="rId920" ref="E921"/>
    <hyperlink r:id="rId921" ref="E922"/>
    <hyperlink r:id="rId922" ref="E923"/>
    <hyperlink r:id="rId923" ref="E924"/>
    <hyperlink r:id="rId924" ref="E925"/>
    <hyperlink r:id="rId925" ref="E926"/>
    <hyperlink r:id="rId926" ref="E927"/>
    <hyperlink r:id="rId927" ref="E928"/>
    <hyperlink r:id="rId928" ref="E929"/>
    <hyperlink r:id="rId929" ref="E930"/>
    <hyperlink r:id="rId930" ref="E931"/>
    <hyperlink r:id="rId931" ref="E932"/>
    <hyperlink r:id="rId932" ref="E933"/>
    <hyperlink r:id="rId933" ref="E934"/>
    <hyperlink r:id="rId934" ref="E935"/>
    <hyperlink r:id="rId935" ref="E936"/>
    <hyperlink r:id="rId936" ref="E937"/>
    <hyperlink r:id="rId937" ref="E938"/>
    <hyperlink r:id="rId938" ref="E939"/>
    <hyperlink r:id="rId939" ref="E940"/>
    <hyperlink r:id="rId940" ref="E941"/>
    <hyperlink r:id="rId941" ref="E942"/>
    <hyperlink r:id="rId942" ref="E943"/>
    <hyperlink r:id="rId943" ref="E944"/>
    <hyperlink r:id="rId944" ref="E945"/>
    <hyperlink r:id="rId945" ref="E946"/>
    <hyperlink r:id="rId946" ref="E947"/>
    <hyperlink r:id="rId947" ref="E948"/>
    <hyperlink r:id="rId948" ref="E949"/>
    <hyperlink r:id="rId949" ref="E950"/>
    <hyperlink r:id="rId950" ref="E951"/>
    <hyperlink r:id="rId951" ref="E952"/>
    <hyperlink r:id="rId952" ref="E953"/>
    <hyperlink r:id="rId953" ref="E954"/>
    <hyperlink r:id="rId954" ref="E955"/>
    <hyperlink r:id="rId955" ref="E956"/>
    <hyperlink r:id="rId956" ref="E957"/>
    <hyperlink r:id="rId957" ref="E958"/>
    <hyperlink r:id="rId958" ref="E959"/>
    <hyperlink r:id="rId959" ref="E960"/>
    <hyperlink r:id="rId960" ref="E961"/>
    <hyperlink r:id="rId961" ref="E962"/>
    <hyperlink r:id="rId962" ref="E963"/>
    <hyperlink r:id="rId963" ref="E964"/>
    <hyperlink r:id="rId964" ref="E965"/>
    <hyperlink r:id="rId965" ref="E966"/>
    <hyperlink r:id="rId966" ref="E967"/>
    <hyperlink r:id="rId967" ref="E968"/>
    <hyperlink r:id="rId968" ref="E969"/>
    <hyperlink r:id="rId969" ref="E970"/>
    <hyperlink r:id="rId970" ref="E971"/>
    <hyperlink r:id="rId971" ref="E972"/>
    <hyperlink r:id="rId972" ref="E973"/>
    <hyperlink r:id="rId973" ref="E974"/>
    <hyperlink r:id="rId974" ref="E975"/>
    <hyperlink r:id="rId975" ref="E976"/>
    <hyperlink r:id="rId976" ref="E977"/>
    <hyperlink r:id="rId977" ref="E978"/>
    <hyperlink r:id="rId978" ref="E979"/>
    <hyperlink r:id="rId979" ref="E980"/>
    <hyperlink r:id="rId980" ref="E981"/>
    <hyperlink r:id="rId981" ref="E982"/>
    <hyperlink r:id="rId982" ref="E983"/>
    <hyperlink r:id="rId983" ref="E984"/>
    <hyperlink r:id="rId984" ref="E985"/>
    <hyperlink r:id="rId985" ref="E986"/>
    <hyperlink r:id="rId986" ref="E987"/>
    <hyperlink r:id="rId987" ref="E988"/>
    <hyperlink r:id="rId988" ref="E989"/>
    <hyperlink r:id="rId989" ref="E990"/>
    <hyperlink r:id="rId990" ref="E991"/>
    <hyperlink r:id="rId991" ref="E992"/>
    <hyperlink r:id="rId992" ref="E993"/>
    <hyperlink r:id="rId993" ref="E994"/>
    <hyperlink r:id="rId994" ref="E995"/>
    <hyperlink r:id="rId995" ref="E996"/>
    <hyperlink r:id="rId996" ref="E997"/>
    <hyperlink r:id="rId997" ref="E998"/>
    <hyperlink r:id="rId998" ref="E999"/>
    <hyperlink r:id="rId999" ref="E1000"/>
    <hyperlink r:id="rId1000" ref="E1001"/>
    <hyperlink r:id="rId1001" ref="E1002"/>
    <hyperlink r:id="rId1002" ref="E1003"/>
    <hyperlink r:id="rId1003" ref="E1004"/>
    <hyperlink r:id="rId1004" ref="E1005"/>
    <hyperlink r:id="rId1005" ref="E1006"/>
    <hyperlink r:id="rId1006" ref="E1007"/>
    <hyperlink r:id="rId1007" ref="E1008"/>
    <hyperlink r:id="rId1008" ref="E1009"/>
    <hyperlink r:id="rId1009" ref="E1010"/>
    <hyperlink r:id="rId1010" ref="E1011"/>
    <hyperlink r:id="rId1011" ref="E1012"/>
    <hyperlink r:id="rId1012" ref="E1013"/>
    <hyperlink r:id="rId1013" ref="E1014"/>
    <hyperlink r:id="rId1014" ref="E1015"/>
    <hyperlink r:id="rId1015" ref="E1016"/>
    <hyperlink r:id="rId1016" ref="E1017"/>
    <hyperlink r:id="rId1017" ref="E1018"/>
    <hyperlink r:id="rId1018" ref="E1019"/>
    <hyperlink r:id="rId1019" ref="E1020"/>
    <hyperlink r:id="rId1020" ref="E1021"/>
    <hyperlink r:id="rId1021" ref="E1022"/>
    <hyperlink r:id="rId1022" ref="E1023"/>
    <hyperlink r:id="rId1023" ref="E1024"/>
    <hyperlink r:id="rId1024" ref="E1025"/>
    <hyperlink r:id="rId1025" ref="E1026"/>
    <hyperlink r:id="rId1026" ref="E1027"/>
    <hyperlink r:id="rId1027" ref="E1028"/>
    <hyperlink r:id="rId1028" ref="E1029"/>
    <hyperlink r:id="rId1029" ref="E1030"/>
    <hyperlink r:id="rId1030" ref="E1031"/>
    <hyperlink r:id="rId1031" ref="E1032"/>
    <hyperlink r:id="rId1032" ref="E1033"/>
    <hyperlink r:id="rId1033" ref="E1034"/>
    <hyperlink r:id="rId1034" ref="E1035"/>
    <hyperlink r:id="rId1035" ref="E1036"/>
    <hyperlink r:id="rId1036" ref="E1037"/>
    <hyperlink r:id="rId1037" ref="E1038"/>
    <hyperlink r:id="rId1038" ref="E1039"/>
    <hyperlink r:id="rId1039" ref="E1040"/>
    <hyperlink r:id="rId1040" ref="E1041"/>
    <hyperlink r:id="rId1041" ref="E1042"/>
    <hyperlink r:id="rId1042" ref="E1043"/>
    <hyperlink r:id="rId1043" ref="E1044"/>
    <hyperlink r:id="rId1044" ref="E1045"/>
    <hyperlink r:id="rId1045" ref="E1046"/>
    <hyperlink r:id="rId1046" ref="E1047"/>
    <hyperlink r:id="rId1047" ref="E1048"/>
    <hyperlink r:id="rId1048" ref="E1049"/>
    <hyperlink r:id="rId1049" ref="E1051"/>
    <hyperlink r:id="rId1050" ref="E1052"/>
    <hyperlink r:id="rId1051" ref="E1053"/>
    <hyperlink r:id="rId1052" ref="E1054"/>
    <hyperlink r:id="rId1053" ref="E1055"/>
    <hyperlink r:id="rId1054" ref="E1056"/>
    <hyperlink r:id="rId1055" ref="E1057"/>
    <hyperlink r:id="rId1056" ref="E1058"/>
    <hyperlink r:id="rId1057" ref="E1059"/>
    <hyperlink r:id="rId1058" ref="E1060"/>
    <hyperlink r:id="rId1059" ref="E1061"/>
    <hyperlink r:id="rId1060" ref="E1062"/>
    <hyperlink r:id="rId1061" ref="E1063"/>
    <hyperlink r:id="rId1062" ref="E1064"/>
    <hyperlink r:id="rId1063" ref="E1065"/>
    <hyperlink r:id="rId1064" ref="E1066"/>
    <hyperlink r:id="rId1065" ref="E1067"/>
    <hyperlink r:id="rId1066" ref="E1068"/>
    <hyperlink r:id="rId1067" ref="E1069"/>
    <hyperlink r:id="rId1068" ref="E1070"/>
    <hyperlink r:id="rId1069" ref="E1071"/>
    <hyperlink r:id="rId1070" ref="E1072"/>
    <hyperlink r:id="rId1071" ref="E1073"/>
    <hyperlink r:id="rId1072" ref="E1074"/>
    <hyperlink r:id="rId1073" ref="E1075"/>
    <hyperlink r:id="rId1074" ref="E1076"/>
    <hyperlink r:id="rId1075" ref="E1077"/>
    <hyperlink r:id="rId1076" ref="E1078"/>
    <hyperlink r:id="rId1077" ref="E1079"/>
    <hyperlink r:id="rId1078" ref="E1080"/>
    <hyperlink r:id="rId1079" ref="E1081"/>
    <hyperlink r:id="rId1080" ref="E1082"/>
    <hyperlink r:id="rId1081" ref="E1083"/>
    <hyperlink r:id="rId1082" ref="E1084"/>
    <hyperlink r:id="rId1083" ref="E1085"/>
    <hyperlink r:id="rId1084" ref="E1086"/>
    <hyperlink r:id="rId1085" ref="E1087"/>
    <hyperlink r:id="rId1086" ref="E1088"/>
    <hyperlink r:id="rId1087" ref="E1089"/>
    <hyperlink r:id="rId1088" ref="E1090"/>
    <hyperlink r:id="rId1089" ref="E1091"/>
    <hyperlink r:id="rId1090" ref="E1092"/>
    <hyperlink r:id="rId1091" ref="E1093"/>
    <hyperlink r:id="rId1092" ref="E1094"/>
    <hyperlink r:id="rId1093" ref="E1095"/>
    <hyperlink r:id="rId1094" ref="E1096"/>
    <hyperlink r:id="rId1095" ref="E1097"/>
    <hyperlink r:id="rId1096" ref="E1098"/>
    <hyperlink r:id="rId1097" ref="E1099"/>
    <hyperlink r:id="rId1098" ref="E1100"/>
    <hyperlink r:id="rId1099" ref="E1101"/>
    <hyperlink r:id="rId1100" ref="E1102"/>
    <hyperlink r:id="rId1101" ref="E1103"/>
    <hyperlink r:id="rId1102" ref="E1104"/>
    <hyperlink r:id="rId1103" ref="E1105"/>
    <hyperlink r:id="rId1104" ref="E1106"/>
    <hyperlink r:id="rId1105" ref="E1107"/>
    <hyperlink r:id="rId1106" ref="E1108"/>
    <hyperlink r:id="rId1107" ref="E1109"/>
    <hyperlink r:id="rId1108" ref="E1110"/>
    <hyperlink r:id="rId1109" ref="E1111"/>
    <hyperlink r:id="rId1110" ref="E1112"/>
    <hyperlink r:id="rId1111" ref="E1113"/>
    <hyperlink r:id="rId1112" ref="E1114"/>
    <hyperlink r:id="rId1113" ref="E1115"/>
    <hyperlink r:id="rId1114" ref="E1116"/>
    <hyperlink r:id="rId1115" ref="E1117"/>
    <hyperlink r:id="rId1116" ref="E1118"/>
    <hyperlink r:id="rId1117" ref="E1119"/>
    <hyperlink r:id="rId1118" ref="E1120"/>
    <hyperlink r:id="rId1119" ref="E1121"/>
    <hyperlink r:id="rId1120" ref="E1122"/>
    <hyperlink r:id="rId1121" ref="E1123"/>
    <hyperlink r:id="rId1122" ref="E1124"/>
    <hyperlink r:id="rId1123" ref="E1125"/>
    <hyperlink r:id="rId1124" ref="E1126"/>
    <hyperlink r:id="rId1125" ref="E1127"/>
    <hyperlink r:id="rId1126" ref="E1128"/>
    <hyperlink r:id="rId1127" ref="E1129"/>
    <hyperlink r:id="rId1128" ref="E1130"/>
    <hyperlink r:id="rId1129" ref="E1131"/>
    <hyperlink r:id="rId1130" ref="E1132"/>
    <hyperlink r:id="rId1131" ref="E1133"/>
    <hyperlink r:id="rId1132" ref="E1134"/>
    <hyperlink r:id="rId1133" ref="E1135"/>
    <hyperlink r:id="rId1134" ref="E1136"/>
    <hyperlink r:id="rId1135" ref="E1137"/>
    <hyperlink r:id="rId1136" ref="E1138"/>
    <hyperlink r:id="rId1137" ref="E1139"/>
    <hyperlink r:id="rId1138" ref="E1140"/>
    <hyperlink r:id="rId1139" ref="E1141"/>
    <hyperlink r:id="rId1140" ref="E1142"/>
    <hyperlink r:id="rId1141" ref="E1143"/>
    <hyperlink r:id="rId1142" ref="E1144"/>
    <hyperlink r:id="rId1143" ref="E1145"/>
    <hyperlink r:id="rId1144" ref="E1146"/>
    <hyperlink r:id="rId1145" ref="E1147"/>
    <hyperlink r:id="rId1146" ref="E1148"/>
    <hyperlink r:id="rId1147" ref="E1149"/>
    <hyperlink r:id="rId1148" ref="E1150"/>
    <hyperlink r:id="rId1149" ref="E1151"/>
    <hyperlink r:id="rId1150" ref="E1152"/>
    <hyperlink r:id="rId1151" ref="E1153"/>
    <hyperlink r:id="rId1152" ref="E1154"/>
    <hyperlink r:id="rId1153" ref="E1155"/>
    <hyperlink r:id="rId1154" ref="E1156"/>
    <hyperlink r:id="rId1155" ref="E1157"/>
    <hyperlink r:id="rId1156" ref="E1158"/>
    <hyperlink r:id="rId1157" ref="E1159"/>
    <hyperlink r:id="rId1158" ref="E1160"/>
    <hyperlink r:id="rId1159" ref="E1161"/>
    <hyperlink r:id="rId1160" ref="E1162"/>
    <hyperlink r:id="rId1161" ref="E1163"/>
    <hyperlink r:id="rId1162" ref="E1164"/>
    <hyperlink r:id="rId1163" ref="E1165"/>
    <hyperlink r:id="rId1164" ref="E1166"/>
    <hyperlink r:id="rId1165" ref="E1167"/>
    <hyperlink r:id="rId1166" ref="E1168"/>
    <hyperlink r:id="rId1167" ref="E1169"/>
    <hyperlink r:id="rId1168" ref="E1170"/>
    <hyperlink r:id="rId1169" ref="E1171"/>
    <hyperlink r:id="rId1170" ref="E1172"/>
    <hyperlink r:id="rId1171" ref="E1173"/>
    <hyperlink r:id="rId1172" ref="E1174"/>
    <hyperlink r:id="rId1173" ref="E1175"/>
    <hyperlink r:id="rId1174" ref="E1176"/>
    <hyperlink r:id="rId1175" ref="E1177"/>
    <hyperlink r:id="rId1176" ref="E1178"/>
    <hyperlink r:id="rId1177" ref="E1179"/>
    <hyperlink r:id="rId1178" ref="E1180"/>
    <hyperlink r:id="rId1179" ref="E1181"/>
    <hyperlink r:id="rId1180" ref="E1182"/>
    <hyperlink r:id="rId1181" ref="E1183"/>
    <hyperlink r:id="rId1182" ref="E1184"/>
    <hyperlink r:id="rId1183" ref="E1185"/>
    <hyperlink r:id="rId1184" ref="E1186"/>
    <hyperlink r:id="rId1185" ref="E1187"/>
    <hyperlink r:id="rId1186" ref="E1188"/>
    <hyperlink r:id="rId1187" ref="E1189"/>
    <hyperlink r:id="rId1188" ref="E1190"/>
    <hyperlink r:id="rId1189" ref="E1191"/>
    <hyperlink r:id="rId1190" ref="E1192"/>
    <hyperlink r:id="rId1191" ref="E1193"/>
    <hyperlink r:id="rId1192" ref="E1194"/>
    <hyperlink r:id="rId1193" ref="E1195"/>
    <hyperlink r:id="rId1194" ref="E1196"/>
    <hyperlink r:id="rId1195" ref="E1197"/>
    <hyperlink r:id="rId1196" ref="E1198"/>
    <hyperlink r:id="rId1197" ref="E1199"/>
    <hyperlink r:id="rId1198" ref="E1200"/>
    <hyperlink r:id="rId1199" ref="E1201"/>
    <hyperlink r:id="rId1200" ref="E1202"/>
    <hyperlink r:id="rId1201" ref="E1203"/>
    <hyperlink r:id="rId1202" ref="E1204"/>
    <hyperlink r:id="rId1203" ref="E1205"/>
    <hyperlink r:id="rId1204" ref="E1206"/>
    <hyperlink r:id="rId1205" ref="E1207"/>
    <hyperlink r:id="rId1206" ref="E1208"/>
    <hyperlink r:id="rId1207" ref="E1209"/>
    <hyperlink r:id="rId1208" ref="E1210"/>
    <hyperlink r:id="rId1209" ref="E1211"/>
    <hyperlink r:id="rId1210" ref="E1212"/>
    <hyperlink r:id="rId1211" ref="E1213"/>
    <hyperlink r:id="rId1212" ref="E1214"/>
    <hyperlink r:id="rId1213" ref="E1215"/>
    <hyperlink r:id="rId1214" ref="E1216"/>
    <hyperlink r:id="rId1215" ref="E1217"/>
    <hyperlink r:id="rId1216" ref="E1218"/>
    <hyperlink r:id="rId1217" ref="E1219"/>
    <hyperlink r:id="rId1218" ref="E1220"/>
    <hyperlink r:id="rId1219" ref="E1221"/>
    <hyperlink r:id="rId1220" ref="E1222"/>
    <hyperlink r:id="rId1221" ref="E1223"/>
    <hyperlink r:id="rId1222" ref="E1224"/>
    <hyperlink r:id="rId1223" ref="E1225"/>
    <hyperlink r:id="rId1224" ref="E1226"/>
    <hyperlink r:id="rId1225" ref="E1227"/>
    <hyperlink r:id="rId1226" ref="E1228"/>
    <hyperlink r:id="rId1227" ref="E1229"/>
    <hyperlink r:id="rId1228" ref="E1230"/>
    <hyperlink r:id="rId1229" ref="E1231"/>
    <hyperlink r:id="rId1230" ref="E1232"/>
    <hyperlink r:id="rId1231" ref="E1233"/>
    <hyperlink r:id="rId1232" ref="E1234"/>
    <hyperlink r:id="rId1233" ref="E1235"/>
    <hyperlink r:id="rId1234" ref="E1236"/>
    <hyperlink r:id="rId1235" ref="E1237"/>
    <hyperlink r:id="rId1236" ref="E1238"/>
    <hyperlink r:id="rId1237" ref="E1239"/>
    <hyperlink r:id="rId1238" ref="E1240"/>
    <hyperlink r:id="rId1239" ref="E1241"/>
    <hyperlink r:id="rId1240" ref="E1242"/>
    <hyperlink r:id="rId1241" ref="E1243"/>
    <hyperlink r:id="rId1242" ref="E1244"/>
    <hyperlink r:id="rId1243" ref="E1245"/>
    <hyperlink r:id="rId1244" ref="E1246"/>
    <hyperlink r:id="rId1245" ref="E1247"/>
    <hyperlink r:id="rId1246" ref="E1248"/>
    <hyperlink r:id="rId1247" ref="E1249"/>
    <hyperlink r:id="rId1248" ref="E1250"/>
    <hyperlink r:id="rId1249" ref="E1251"/>
    <hyperlink r:id="rId1250" ref="E1252"/>
    <hyperlink r:id="rId1251" ref="E1253"/>
    <hyperlink r:id="rId1252" ref="E1254"/>
    <hyperlink r:id="rId1253" ref="E1255"/>
    <hyperlink r:id="rId1254" ref="E1256"/>
    <hyperlink r:id="rId1255" ref="E1257"/>
    <hyperlink r:id="rId1256" ref="E1258"/>
    <hyperlink r:id="rId1257" ref="E1259"/>
    <hyperlink r:id="rId1258" ref="E1260"/>
    <hyperlink r:id="rId1259" ref="E1261"/>
    <hyperlink r:id="rId1260" ref="E1262"/>
    <hyperlink r:id="rId1261" ref="E1263"/>
    <hyperlink r:id="rId1262" ref="E1264"/>
    <hyperlink r:id="rId1263" ref="E1265"/>
    <hyperlink r:id="rId1264" ref="E1266"/>
    <hyperlink r:id="rId1265" ref="E1267"/>
    <hyperlink r:id="rId1266" ref="E1268"/>
    <hyperlink r:id="rId1267" ref="E1269"/>
    <hyperlink r:id="rId1268" ref="E1270"/>
    <hyperlink r:id="rId1269" ref="E1271"/>
    <hyperlink r:id="rId1270" ref="E1272"/>
    <hyperlink r:id="rId1271" ref="E1273"/>
    <hyperlink r:id="rId1272" ref="E1274"/>
    <hyperlink r:id="rId1273" ref="E1275"/>
    <hyperlink r:id="rId1274" ref="E1276"/>
    <hyperlink r:id="rId1275" ref="E1277"/>
    <hyperlink r:id="rId1276" ref="E1278"/>
    <hyperlink r:id="rId1277" ref="E1279"/>
    <hyperlink r:id="rId1278" ref="E1280"/>
    <hyperlink r:id="rId1279" ref="E1281"/>
    <hyperlink r:id="rId1280" ref="E1282"/>
    <hyperlink r:id="rId1281" ref="E1283"/>
    <hyperlink r:id="rId1282" ref="E1284"/>
    <hyperlink r:id="rId1283" ref="E1285"/>
    <hyperlink r:id="rId1284" ref="E1286"/>
    <hyperlink r:id="rId1285" ref="E1287"/>
    <hyperlink r:id="rId1286" ref="E1288"/>
    <hyperlink r:id="rId1287" ref="E1289"/>
    <hyperlink r:id="rId1288" ref="E1290"/>
    <hyperlink r:id="rId1289" ref="E1291"/>
    <hyperlink r:id="rId1290" ref="E1292"/>
    <hyperlink r:id="rId1291" ref="E1293"/>
    <hyperlink r:id="rId1292" ref="E1294"/>
    <hyperlink r:id="rId1293" ref="E1295"/>
    <hyperlink r:id="rId1294" ref="E1296"/>
    <hyperlink r:id="rId1295" ref="E1297"/>
    <hyperlink r:id="rId1296" ref="E1298"/>
    <hyperlink r:id="rId1297" ref="E1299"/>
    <hyperlink r:id="rId1298" ref="E1300"/>
    <hyperlink r:id="rId1299" ref="E1301"/>
    <hyperlink r:id="rId1300" ref="E1302"/>
    <hyperlink r:id="rId1301" ref="E1303"/>
    <hyperlink r:id="rId1302" ref="E1304"/>
    <hyperlink r:id="rId1303" ref="E1305"/>
    <hyperlink r:id="rId1304" ref="E1306"/>
    <hyperlink r:id="rId1305" ref="E1307"/>
    <hyperlink r:id="rId1306" ref="E1308"/>
    <hyperlink r:id="rId1307" ref="E1309"/>
    <hyperlink r:id="rId1308" ref="E1310"/>
    <hyperlink r:id="rId1309" ref="E1311"/>
    <hyperlink r:id="rId1310" ref="E1312"/>
    <hyperlink r:id="rId1311" ref="E1313"/>
    <hyperlink r:id="rId1312" ref="E1314"/>
    <hyperlink r:id="rId1313" ref="E1315"/>
    <hyperlink r:id="rId1314" ref="E1316"/>
    <hyperlink r:id="rId1315" ref="E1317"/>
    <hyperlink r:id="rId1316" ref="E1318"/>
    <hyperlink r:id="rId1317" ref="E1319"/>
    <hyperlink r:id="rId1318" ref="E1320"/>
    <hyperlink r:id="rId1319" ref="E1321"/>
    <hyperlink r:id="rId1320" ref="E1322"/>
    <hyperlink r:id="rId1321" ref="E1323"/>
    <hyperlink r:id="rId1322" ref="E1324"/>
    <hyperlink r:id="rId1323" ref="E1325"/>
    <hyperlink r:id="rId1324" ref="E1326"/>
    <hyperlink r:id="rId1325" ref="E1327"/>
    <hyperlink r:id="rId1326" ref="E1328"/>
    <hyperlink r:id="rId1327" ref="E1329"/>
    <hyperlink r:id="rId1328" ref="E1330"/>
    <hyperlink r:id="rId1329" ref="E1331"/>
    <hyperlink r:id="rId1330" ref="E1332"/>
    <hyperlink r:id="rId1331" ref="E1333"/>
    <hyperlink r:id="rId1332" ref="E1334"/>
    <hyperlink r:id="rId1333" ref="E1335"/>
    <hyperlink r:id="rId1334" ref="E1336"/>
    <hyperlink r:id="rId1335" ref="E1337"/>
    <hyperlink r:id="rId1336" ref="E1338"/>
    <hyperlink r:id="rId1337" ref="E1339"/>
    <hyperlink r:id="rId1338" ref="E1340"/>
    <hyperlink r:id="rId1339" ref="E1341"/>
    <hyperlink r:id="rId1340" ref="E1342"/>
    <hyperlink r:id="rId1341" ref="E1343"/>
    <hyperlink r:id="rId1342" ref="E1344"/>
    <hyperlink r:id="rId1343" ref="E1345"/>
    <hyperlink r:id="rId1344" ref="E1346"/>
    <hyperlink r:id="rId1345" ref="E1347"/>
    <hyperlink r:id="rId1346" ref="E1348"/>
    <hyperlink r:id="rId1347" ref="E1349"/>
    <hyperlink r:id="rId1348" ref="E1350"/>
    <hyperlink r:id="rId1349" ref="E1351"/>
    <hyperlink r:id="rId1350" ref="E1352"/>
    <hyperlink r:id="rId1351" ref="E1353"/>
    <hyperlink r:id="rId1352" ref="E1354"/>
    <hyperlink r:id="rId1353" ref="E1355"/>
    <hyperlink r:id="rId1354" ref="E1356"/>
    <hyperlink r:id="rId1355" ref="E1357"/>
    <hyperlink r:id="rId1356" ref="E1358"/>
    <hyperlink r:id="rId1357" ref="E1359"/>
    <hyperlink r:id="rId1358" ref="E1360"/>
    <hyperlink r:id="rId1359" ref="E1361"/>
    <hyperlink r:id="rId1360" ref="E1362"/>
    <hyperlink r:id="rId1361" ref="E1363"/>
    <hyperlink r:id="rId1362" ref="E1364"/>
    <hyperlink r:id="rId1363" ref="E1365"/>
    <hyperlink r:id="rId1364" ref="E1366"/>
    <hyperlink r:id="rId1365" ref="E1367"/>
    <hyperlink r:id="rId1366" ref="E1368"/>
    <hyperlink r:id="rId1367" ref="E1369"/>
    <hyperlink r:id="rId1368" ref="E1370"/>
    <hyperlink r:id="rId1369" ref="E1371"/>
    <hyperlink r:id="rId1370" ref="E1372"/>
    <hyperlink r:id="rId1371" ref="E1373"/>
    <hyperlink r:id="rId1372" ref="E1374"/>
    <hyperlink r:id="rId1373" ref="E1375"/>
    <hyperlink r:id="rId1374" ref="E1376"/>
    <hyperlink r:id="rId1375" ref="E1377"/>
    <hyperlink r:id="rId1376" ref="E1378"/>
    <hyperlink r:id="rId1377" ref="E1379"/>
    <hyperlink r:id="rId1378" ref="E1380"/>
    <hyperlink r:id="rId1379" ref="E1381"/>
    <hyperlink r:id="rId1380" ref="E1382"/>
    <hyperlink r:id="rId1381" ref="E1383"/>
    <hyperlink r:id="rId1382" ref="E1384"/>
    <hyperlink r:id="rId1383" ref="E1385"/>
    <hyperlink r:id="rId1384" ref="E1386"/>
    <hyperlink r:id="rId1385" ref="E1387"/>
    <hyperlink r:id="rId1386" ref="E1388"/>
    <hyperlink r:id="rId1387" ref="E1389"/>
    <hyperlink r:id="rId1388" ref="E1390"/>
    <hyperlink r:id="rId1389" ref="E1391"/>
    <hyperlink r:id="rId1390" ref="E1392"/>
    <hyperlink r:id="rId1391" ref="E1393"/>
    <hyperlink r:id="rId1392" ref="E1394"/>
    <hyperlink r:id="rId1393" ref="E1395"/>
    <hyperlink r:id="rId1394" ref="E1396"/>
    <hyperlink r:id="rId1395" ref="E1397"/>
    <hyperlink r:id="rId1396" ref="E1398"/>
    <hyperlink r:id="rId1397" ref="E1399"/>
  </hyperlinks>
  <drawing r:id="rId1398"/>
</worksheet>
</file>